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285" yWindow="120" windowWidth="9720" windowHeight="6285" tabRatio="831"/>
  </bookViews>
  <sheets>
    <sheet name="January,February,March" sheetId="148" r:id="rId1"/>
    <sheet name="March,April,May" sheetId="150" r:id="rId2"/>
    <sheet name="April,May, June" sheetId="152" r:id="rId3"/>
    <sheet name="May, June , July" sheetId="154" r:id="rId4"/>
    <sheet name="June,July,Aug " sheetId="155" r:id="rId5"/>
    <sheet name="July,Aug,Sept" sheetId="156" r:id="rId6"/>
    <sheet name="August,September,October" sheetId="157" r:id="rId7"/>
    <sheet name="September,October,November" sheetId="158" r:id="rId8"/>
    <sheet name="October,November,December" sheetId="159" r:id="rId9"/>
  </sheets>
  <calcPr calcId="145621"/>
</workbook>
</file>

<file path=xl/calcChain.xml><?xml version="1.0" encoding="utf-8"?>
<calcChain xmlns="http://schemas.openxmlformats.org/spreadsheetml/2006/main">
  <c r="U43" i="159" l="1"/>
  <c r="V43" i="159"/>
  <c r="N43" i="159"/>
  <c r="U42" i="159"/>
  <c r="V42" i="159"/>
  <c r="N42" i="159"/>
  <c r="D42" i="159"/>
  <c r="C42" i="159"/>
  <c r="U41" i="159"/>
  <c r="N41" i="159"/>
  <c r="D41" i="159"/>
  <c r="C41" i="159"/>
  <c r="G42" i="159"/>
  <c r="U40" i="159"/>
  <c r="N40" i="159"/>
  <c r="D40" i="159"/>
  <c r="C40" i="159"/>
  <c r="G41" i="159"/>
  <c r="U39" i="159"/>
  <c r="V39" i="159"/>
  <c r="N39" i="159"/>
  <c r="D39" i="159"/>
  <c r="C39" i="159"/>
  <c r="U38" i="159"/>
  <c r="N38" i="159"/>
  <c r="D38" i="159"/>
  <c r="C38" i="159"/>
  <c r="G39" i="159"/>
  <c r="U37" i="159"/>
  <c r="N37" i="159"/>
  <c r="D37" i="159"/>
  <c r="C37" i="159"/>
  <c r="U36" i="159"/>
  <c r="N36" i="159"/>
  <c r="D36" i="159"/>
  <c r="C36" i="159"/>
  <c r="G37" i="159"/>
  <c r="U35" i="159"/>
  <c r="N35" i="159"/>
  <c r="D35" i="159"/>
  <c r="C35" i="159"/>
  <c r="U34" i="159"/>
  <c r="N34" i="159"/>
  <c r="D34" i="159"/>
  <c r="C34" i="159"/>
  <c r="G35" i="159"/>
  <c r="U33" i="159"/>
  <c r="N33" i="159"/>
  <c r="D33" i="159"/>
  <c r="C33" i="159"/>
  <c r="U32" i="159"/>
  <c r="N32" i="159"/>
  <c r="D32" i="159"/>
  <c r="C32" i="159"/>
  <c r="G33" i="159"/>
  <c r="U31" i="159"/>
  <c r="N31" i="159"/>
  <c r="D31" i="159"/>
  <c r="C31" i="159"/>
  <c r="U30" i="159"/>
  <c r="N30" i="159"/>
  <c r="D30" i="159"/>
  <c r="C30" i="159"/>
  <c r="G31" i="159"/>
  <c r="U29" i="159"/>
  <c r="N29" i="159"/>
  <c r="D29" i="159"/>
  <c r="C29" i="159"/>
  <c r="G30" i="159"/>
  <c r="U28" i="159"/>
  <c r="N28" i="159"/>
  <c r="D28" i="159"/>
  <c r="C28" i="159"/>
  <c r="U27" i="159"/>
  <c r="N27" i="159"/>
  <c r="D27" i="159"/>
  <c r="C27" i="159"/>
  <c r="G28" i="159"/>
  <c r="U26" i="159"/>
  <c r="N26" i="159"/>
  <c r="D26" i="159"/>
  <c r="C26" i="159"/>
  <c r="U25" i="159"/>
  <c r="N25" i="159"/>
  <c r="D25" i="159"/>
  <c r="C25" i="159"/>
  <c r="G26" i="159"/>
  <c r="U24" i="159"/>
  <c r="N24" i="159"/>
  <c r="D24" i="159"/>
  <c r="C24" i="159"/>
  <c r="U23" i="159"/>
  <c r="N23" i="159"/>
  <c r="D23" i="159"/>
  <c r="C23" i="159"/>
  <c r="G24" i="159"/>
  <c r="U22" i="159"/>
  <c r="N22" i="159"/>
  <c r="D22" i="159"/>
  <c r="C22" i="159"/>
  <c r="G22" i="159" s="1"/>
  <c r="U21" i="159"/>
  <c r="U20" i="159"/>
  <c r="N21" i="159"/>
  <c r="D21" i="159"/>
  <c r="C21" i="159"/>
  <c r="N20" i="159"/>
  <c r="D20" i="159"/>
  <c r="C20" i="159"/>
  <c r="G21" i="159"/>
  <c r="U19" i="159"/>
  <c r="N19" i="159"/>
  <c r="D19" i="159"/>
  <c r="C19" i="159"/>
  <c r="G20" i="159"/>
  <c r="U18" i="159"/>
  <c r="N18" i="159"/>
  <c r="D18" i="159"/>
  <c r="C18" i="159"/>
  <c r="G18" i="159"/>
  <c r="U17" i="159"/>
  <c r="D17" i="159"/>
  <c r="C17" i="159"/>
  <c r="U16" i="159"/>
  <c r="J16" i="159"/>
  <c r="N16" i="159"/>
  <c r="O16" i="159"/>
  <c r="D16" i="159"/>
  <c r="C16" i="159"/>
  <c r="G17" i="159"/>
  <c r="U15" i="159"/>
  <c r="N15" i="159"/>
  <c r="D15" i="159"/>
  <c r="C15" i="159"/>
  <c r="U14" i="159"/>
  <c r="N14" i="159"/>
  <c r="C14" i="159"/>
  <c r="G15" i="159"/>
  <c r="D14" i="159"/>
  <c r="O14" i="159"/>
  <c r="D13" i="159"/>
  <c r="C13" i="159"/>
  <c r="G14" i="159"/>
  <c r="T43" i="159"/>
  <c r="S43" i="159"/>
  <c r="O43" i="159"/>
  <c r="M43" i="159"/>
  <c r="L43" i="159"/>
  <c r="F43" i="159"/>
  <c r="E43" i="159"/>
  <c r="T42" i="159"/>
  <c r="S42" i="159"/>
  <c r="O42" i="159"/>
  <c r="M42" i="159"/>
  <c r="L42" i="159"/>
  <c r="V41" i="159"/>
  <c r="T41" i="159"/>
  <c r="S41" i="159"/>
  <c r="O41" i="159"/>
  <c r="M41" i="159"/>
  <c r="L41" i="159"/>
  <c r="F41" i="159"/>
  <c r="V40" i="159"/>
  <c r="T40" i="159"/>
  <c r="S40" i="159"/>
  <c r="O40" i="159"/>
  <c r="M40" i="159"/>
  <c r="L40" i="159"/>
  <c r="E40" i="159"/>
  <c r="T39" i="159"/>
  <c r="S39" i="159"/>
  <c r="O39" i="159"/>
  <c r="M39" i="159"/>
  <c r="L39" i="159"/>
  <c r="F39" i="159"/>
  <c r="V38" i="159"/>
  <c r="T38" i="159"/>
  <c r="S38" i="159"/>
  <c r="O38" i="159"/>
  <c r="M38" i="159"/>
  <c r="L38" i="159"/>
  <c r="F38" i="159"/>
  <c r="E38" i="159"/>
  <c r="V37" i="159"/>
  <c r="T37" i="159"/>
  <c r="S37" i="159"/>
  <c r="O37" i="159"/>
  <c r="M37" i="159"/>
  <c r="L37" i="159"/>
  <c r="F37" i="159"/>
  <c r="V36" i="159"/>
  <c r="T36" i="159"/>
  <c r="S36" i="159"/>
  <c r="O36" i="159"/>
  <c r="M36" i="159"/>
  <c r="L36" i="159"/>
  <c r="F36" i="159"/>
  <c r="E36" i="159"/>
  <c r="V35" i="159"/>
  <c r="T35" i="159"/>
  <c r="S35" i="159"/>
  <c r="O35" i="159"/>
  <c r="M35" i="159"/>
  <c r="L35" i="159"/>
  <c r="F35" i="159"/>
  <c r="V34" i="159"/>
  <c r="T34" i="159"/>
  <c r="S34" i="159"/>
  <c r="O34" i="159"/>
  <c r="M34" i="159"/>
  <c r="L34" i="159"/>
  <c r="F34" i="159"/>
  <c r="E34" i="159"/>
  <c r="V33" i="159"/>
  <c r="T33" i="159"/>
  <c r="S33" i="159"/>
  <c r="O33" i="159"/>
  <c r="M33" i="159"/>
  <c r="L33" i="159"/>
  <c r="F33" i="159"/>
  <c r="V32" i="159"/>
  <c r="T32" i="159"/>
  <c r="S32" i="159"/>
  <c r="O32" i="159"/>
  <c r="M32" i="159"/>
  <c r="L32" i="159"/>
  <c r="F32" i="159"/>
  <c r="E32" i="159"/>
  <c r="V31" i="159"/>
  <c r="T31" i="159"/>
  <c r="S31" i="159"/>
  <c r="O31" i="159"/>
  <c r="M31" i="159"/>
  <c r="L31" i="159"/>
  <c r="F31" i="159"/>
  <c r="V30" i="159"/>
  <c r="T30" i="159"/>
  <c r="S30" i="159"/>
  <c r="O30" i="159"/>
  <c r="M30" i="159"/>
  <c r="L30" i="159"/>
  <c r="F30" i="159"/>
  <c r="V29" i="159"/>
  <c r="T29" i="159"/>
  <c r="S29" i="159"/>
  <c r="O29" i="159"/>
  <c r="M29" i="159"/>
  <c r="L29" i="159"/>
  <c r="F29" i="159"/>
  <c r="V28" i="159"/>
  <c r="T28" i="159"/>
  <c r="S28" i="159"/>
  <c r="O28" i="159"/>
  <c r="M28" i="159"/>
  <c r="L28" i="159"/>
  <c r="F28" i="159"/>
  <c r="E28" i="159"/>
  <c r="V27" i="159"/>
  <c r="T27" i="159"/>
  <c r="S27" i="159"/>
  <c r="O27" i="159"/>
  <c r="M27" i="159"/>
  <c r="L27" i="159"/>
  <c r="F27" i="159"/>
  <c r="V26" i="159"/>
  <c r="T26" i="159"/>
  <c r="S26" i="159"/>
  <c r="O26" i="159"/>
  <c r="M26" i="159"/>
  <c r="L26" i="159"/>
  <c r="F26" i="159"/>
  <c r="E26" i="159"/>
  <c r="V25" i="159"/>
  <c r="T25" i="159"/>
  <c r="S25" i="159"/>
  <c r="O25" i="159"/>
  <c r="M25" i="159"/>
  <c r="L25" i="159"/>
  <c r="F25" i="159"/>
  <c r="V24" i="159"/>
  <c r="T24" i="159"/>
  <c r="S24" i="159"/>
  <c r="O24" i="159"/>
  <c r="M24" i="159"/>
  <c r="L24" i="159"/>
  <c r="F24" i="159"/>
  <c r="E24" i="159"/>
  <c r="V23" i="159"/>
  <c r="T23" i="159"/>
  <c r="S23" i="159"/>
  <c r="O23" i="159"/>
  <c r="M23" i="159"/>
  <c r="L23" i="159"/>
  <c r="F23" i="159"/>
  <c r="V22" i="159"/>
  <c r="T22" i="159"/>
  <c r="S22" i="159"/>
  <c r="O22" i="159"/>
  <c r="M22" i="159"/>
  <c r="L22" i="159"/>
  <c r="F22" i="159"/>
  <c r="E22" i="159"/>
  <c r="V21" i="159"/>
  <c r="T21" i="159"/>
  <c r="S21" i="159"/>
  <c r="O21" i="159"/>
  <c r="M21" i="159"/>
  <c r="L21" i="159"/>
  <c r="F21" i="159"/>
  <c r="V20" i="159"/>
  <c r="T20" i="159"/>
  <c r="S20" i="159"/>
  <c r="O20" i="159"/>
  <c r="M20" i="159"/>
  <c r="L20" i="159"/>
  <c r="F20" i="159"/>
  <c r="E20" i="159"/>
  <c r="V19" i="159"/>
  <c r="T19" i="159"/>
  <c r="S19" i="159"/>
  <c r="O19" i="159"/>
  <c r="M19" i="159"/>
  <c r="L19" i="159"/>
  <c r="F19" i="159"/>
  <c r="V18" i="159"/>
  <c r="T18" i="159"/>
  <c r="S18" i="159"/>
  <c r="O18" i="159"/>
  <c r="M18" i="159"/>
  <c r="L18" i="159"/>
  <c r="F18" i="159"/>
  <c r="E18" i="159"/>
  <c r="V17" i="159"/>
  <c r="T17" i="159"/>
  <c r="S17" i="159"/>
  <c r="M17" i="159"/>
  <c r="L17" i="159"/>
  <c r="F17" i="159"/>
  <c r="B17" i="159"/>
  <c r="B18" i="159"/>
  <c r="B19" i="159" s="1"/>
  <c r="B20" i="159" s="1"/>
  <c r="B21" i="159" s="1"/>
  <c r="B22" i="159" s="1"/>
  <c r="B23" i="159" s="1"/>
  <c r="B24" i="159" s="1"/>
  <c r="B25" i="159" s="1"/>
  <c r="B26" i="159" s="1"/>
  <c r="B27" i="159" s="1"/>
  <c r="B28" i="159" s="1"/>
  <c r="B29" i="159" s="1"/>
  <c r="B30" i="159" s="1"/>
  <c r="B31" i="159" s="1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V16" i="159"/>
  <c r="T16" i="159"/>
  <c r="S16" i="159"/>
  <c r="M16" i="159"/>
  <c r="L16" i="159"/>
  <c r="F16" i="159"/>
  <c r="E16" i="159"/>
  <c r="V15" i="159"/>
  <c r="T15" i="159"/>
  <c r="S15" i="159"/>
  <c r="O15" i="159"/>
  <c r="M15" i="159"/>
  <c r="L15" i="159"/>
  <c r="F15" i="159"/>
  <c r="E15" i="159"/>
  <c r="V14" i="159"/>
  <c r="T14" i="159"/>
  <c r="S14" i="159"/>
  <c r="M14" i="159"/>
  <c r="L14" i="159"/>
  <c r="F14" i="159"/>
  <c r="B14" i="159"/>
  <c r="B15" i="159"/>
  <c r="T13" i="159"/>
  <c r="S13" i="159"/>
  <c r="M13" i="159"/>
  <c r="L13" i="159"/>
  <c r="F13" i="159"/>
  <c r="E13" i="159"/>
  <c r="U42" i="158"/>
  <c r="V42" i="158"/>
  <c r="N42" i="158"/>
  <c r="U41" i="158"/>
  <c r="V41" i="158" s="1"/>
  <c r="N41" i="158"/>
  <c r="D41" i="158"/>
  <c r="C41" i="158"/>
  <c r="G42" i="158" s="1"/>
  <c r="U40" i="158"/>
  <c r="N40" i="158"/>
  <c r="D40" i="158"/>
  <c r="C40" i="158"/>
  <c r="U39" i="158"/>
  <c r="N39" i="158"/>
  <c r="O39" i="158" s="1"/>
  <c r="D39" i="158"/>
  <c r="C39" i="158"/>
  <c r="U38" i="158"/>
  <c r="N38" i="158"/>
  <c r="O38" i="158" s="1"/>
  <c r="D38" i="158"/>
  <c r="C38" i="158"/>
  <c r="G39" i="158"/>
  <c r="U37" i="158"/>
  <c r="V37" i="158" s="1"/>
  <c r="N37" i="158"/>
  <c r="D37" i="158"/>
  <c r="C37" i="158"/>
  <c r="U36" i="158"/>
  <c r="V36" i="158" s="1"/>
  <c r="N36" i="158"/>
  <c r="D36" i="158"/>
  <c r="C36" i="158"/>
  <c r="G37" i="158"/>
  <c r="U35" i="158"/>
  <c r="N35" i="158"/>
  <c r="D35" i="158"/>
  <c r="C35" i="158"/>
  <c r="G35" i="158" s="1"/>
  <c r="U34" i="158"/>
  <c r="N34" i="158"/>
  <c r="D34" i="158"/>
  <c r="C34" i="158"/>
  <c r="U33" i="158"/>
  <c r="N33" i="158"/>
  <c r="D33" i="158"/>
  <c r="C33" i="158"/>
  <c r="U32" i="158"/>
  <c r="N32" i="158"/>
  <c r="D32" i="158"/>
  <c r="C32" i="158"/>
  <c r="G33" i="158"/>
  <c r="U31" i="158"/>
  <c r="N31" i="158"/>
  <c r="O31" i="158" s="1"/>
  <c r="D31" i="158"/>
  <c r="C31" i="158"/>
  <c r="U30" i="158"/>
  <c r="N30" i="158"/>
  <c r="O30" i="158" s="1"/>
  <c r="D30" i="158"/>
  <c r="C30" i="158"/>
  <c r="G31" i="158"/>
  <c r="U29" i="158"/>
  <c r="V29" i="158" s="1"/>
  <c r="N29" i="158"/>
  <c r="D29" i="158"/>
  <c r="C29" i="158"/>
  <c r="U28" i="158"/>
  <c r="V28" i="158" s="1"/>
  <c r="N28" i="158"/>
  <c r="D28" i="158"/>
  <c r="C28" i="158"/>
  <c r="G29" i="158"/>
  <c r="U27" i="158"/>
  <c r="N27" i="158"/>
  <c r="D27" i="158"/>
  <c r="C27" i="158"/>
  <c r="F27" i="158" s="1"/>
  <c r="U26" i="158"/>
  <c r="N26" i="158"/>
  <c r="D26" i="158"/>
  <c r="C26" i="158"/>
  <c r="U25" i="158"/>
  <c r="N25" i="158"/>
  <c r="O25" i="158" s="1"/>
  <c r="D25" i="158"/>
  <c r="C25" i="158"/>
  <c r="G26" i="158"/>
  <c r="U24" i="158"/>
  <c r="N24" i="158"/>
  <c r="C24" i="158"/>
  <c r="D24" i="158"/>
  <c r="U23" i="158"/>
  <c r="V23" i="158" s="1"/>
  <c r="N23" i="158"/>
  <c r="C23" i="158"/>
  <c r="G24" i="158"/>
  <c r="D23" i="158"/>
  <c r="E23" i="158" s="1"/>
  <c r="U22" i="158"/>
  <c r="N22" i="158"/>
  <c r="D22" i="158"/>
  <c r="C22" i="158"/>
  <c r="G23" i="158" s="1"/>
  <c r="U21" i="158"/>
  <c r="N21" i="158"/>
  <c r="D21" i="158"/>
  <c r="E21" i="158" s="1"/>
  <c r="C21" i="158"/>
  <c r="U20" i="158"/>
  <c r="N20" i="158"/>
  <c r="O20" i="158" s="1"/>
  <c r="D20" i="158"/>
  <c r="C20" i="158"/>
  <c r="U19" i="158"/>
  <c r="V19" i="158"/>
  <c r="N19" i="158"/>
  <c r="D19" i="158"/>
  <c r="C19" i="158"/>
  <c r="G20" i="158"/>
  <c r="U18" i="158"/>
  <c r="N18" i="158"/>
  <c r="D18" i="158"/>
  <c r="C18" i="158"/>
  <c r="G19" i="158" s="1"/>
  <c r="U17" i="158"/>
  <c r="V17" i="158"/>
  <c r="N17" i="158"/>
  <c r="O17" i="158" s="1"/>
  <c r="D17" i="158"/>
  <c r="C17" i="158"/>
  <c r="U16" i="158"/>
  <c r="N16" i="158"/>
  <c r="O16" i="158" s="1"/>
  <c r="D16" i="158"/>
  <c r="C16" i="158"/>
  <c r="G17" i="158"/>
  <c r="U15" i="158"/>
  <c r="V15" i="158" s="1"/>
  <c r="N15" i="158"/>
  <c r="D15" i="158"/>
  <c r="C15" i="158"/>
  <c r="G16" i="158"/>
  <c r="U14" i="158"/>
  <c r="V14" i="158"/>
  <c r="N14" i="158"/>
  <c r="D14" i="158"/>
  <c r="C14" i="158"/>
  <c r="D13" i="158"/>
  <c r="C13" i="158"/>
  <c r="G14" i="158"/>
  <c r="G13" i="158"/>
  <c r="H13" i="158"/>
  <c r="V43" i="158"/>
  <c r="T43" i="158"/>
  <c r="S43" i="158"/>
  <c r="O43" i="158"/>
  <c r="M43" i="158"/>
  <c r="L43" i="158"/>
  <c r="F43" i="158"/>
  <c r="E43" i="158"/>
  <c r="T42" i="158"/>
  <c r="S42" i="158"/>
  <c r="O42" i="158"/>
  <c r="M42" i="158"/>
  <c r="L42" i="158"/>
  <c r="F42" i="158"/>
  <c r="E42" i="158"/>
  <c r="T41" i="158"/>
  <c r="S41" i="158"/>
  <c r="O41" i="158"/>
  <c r="M41" i="158"/>
  <c r="L41" i="158"/>
  <c r="E41" i="158"/>
  <c r="V40" i="158"/>
  <c r="T40" i="158"/>
  <c r="S40" i="158"/>
  <c r="O40" i="158"/>
  <c r="M40" i="158"/>
  <c r="L40" i="158"/>
  <c r="F40" i="158"/>
  <c r="V39" i="158"/>
  <c r="T39" i="158"/>
  <c r="S39" i="158"/>
  <c r="M39" i="158"/>
  <c r="L39" i="158"/>
  <c r="F39" i="158"/>
  <c r="E39" i="158"/>
  <c r="V38" i="158"/>
  <c r="T38" i="158"/>
  <c r="S38" i="158"/>
  <c r="M38" i="158"/>
  <c r="L38" i="158"/>
  <c r="F38" i="158"/>
  <c r="T37" i="158"/>
  <c r="S37" i="158"/>
  <c r="O37" i="158"/>
  <c r="M37" i="158"/>
  <c r="L37" i="158"/>
  <c r="F37" i="158"/>
  <c r="E37" i="158"/>
  <c r="T36" i="158"/>
  <c r="S36" i="158"/>
  <c r="O36" i="158"/>
  <c r="M36" i="158"/>
  <c r="L36" i="158"/>
  <c r="F36" i="158"/>
  <c r="V35" i="158"/>
  <c r="T35" i="158"/>
  <c r="S35" i="158"/>
  <c r="O35" i="158"/>
  <c r="M35" i="158"/>
  <c r="L35" i="158"/>
  <c r="F35" i="158"/>
  <c r="V34" i="158"/>
  <c r="T34" i="158"/>
  <c r="S34" i="158"/>
  <c r="O34" i="158"/>
  <c r="M34" i="158"/>
  <c r="L34" i="158"/>
  <c r="F34" i="158"/>
  <c r="V33" i="158"/>
  <c r="T33" i="158"/>
  <c r="S33" i="158"/>
  <c r="O33" i="158"/>
  <c r="M33" i="158"/>
  <c r="L33" i="158"/>
  <c r="F33" i="158"/>
  <c r="E33" i="158"/>
  <c r="V32" i="158"/>
  <c r="T32" i="158"/>
  <c r="S32" i="158"/>
  <c r="O32" i="158"/>
  <c r="M32" i="158"/>
  <c r="L32" i="158"/>
  <c r="F32" i="158"/>
  <c r="V31" i="158"/>
  <c r="T31" i="158"/>
  <c r="S31" i="158"/>
  <c r="M31" i="158"/>
  <c r="L31" i="158"/>
  <c r="F31" i="158"/>
  <c r="E31" i="158"/>
  <c r="V30" i="158"/>
  <c r="T30" i="158"/>
  <c r="S30" i="158"/>
  <c r="M30" i="158"/>
  <c r="L30" i="158"/>
  <c r="F30" i="158"/>
  <c r="T29" i="158"/>
  <c r="S29" i="158"/>
  <c r="O29" i="158"/>
  <c r="M29" i="158"/>
  <c r="L29" i="158"/>
  <c r="F29" i="158"/>
  <c r="E29" i="158"/>
  <c r="T28" i="158"/>
  <c r="S28" i="158"/>
  <c r="O28" i="158"/>
  <c r="M28" i="158"/>
  <c r="L28" i="158"/>
  <c r="F28" i="158"/>
  <c r="V27" i="158"/>
  <c r="T27" i="158"/>
  <c r="S27" i="158"/>
  <c r="O27" i="158"/>
  <c r="M27" i="158"/>
  <c r="L27" i="158"/>
  <c r="E27" i="158"/>
  <c r="V26" i="158"/>
  <c r="T26" i="158"/>
  <c r="S26" i="158"/>
  <c r="O26" i="158"/>
  <c r="M26" i="158"/>
  <c r="L26" i="158"/>
  <c r="F26" i="158"/>
  <c r="V25" i="158"/>
  <c r="T25" i="158"/>
  <c r="S25" i="158"/>
  <c r="M25" i="158"/>
  <c r="L25" i="158"/>
  <c r="F25" i="158"/>
  <c r="E25" i="158"/>
  <c r="V24" i="158"/>
  <c r="T24" i="158"/>
  <c r="S24" i="158"/>
  <c r="O24" i="158"/>
  <c r="M24" i="158"/>
  <c r="L24" i="158"/>
  <c r="F24" i="158"/>
  <c r="T23" i="158"/>
  <c r="S23" i="158"/>
  <c r="O23" i="158"/>
  <c r="M23" i="158"/>
  <c r="L23" i="158"/>
  <c r="F23" i="158"/>
  <c r="V22" i="158"/>
  <c r="T22" i="158"/>
  <c r="S22" i="158"/>
  <c r="O22" i="158"/>
  <c r="M22" i="158"/>
  <c r="L22" i="158"/>
  <c r="V21" i="158"/>
  <c r="T21" i="158"/>
  <c r="S21" i="158"/>
  <c r="O21" i="158"/>
  <c r="M21" i="158"/>
  <c r="L21" i="158"/>
  <c r="F21" i="158"/>
  <c r="V20" i="158"/>
  <c r="T20" i="158"/>
  <c r="S20" i="158"/>
  <c r="M20" i="158"/>
  <c r="L20" i="158"/>
  <c r="F20" i="158"/>
  <c r="T19" i="158"/>
  <c r="S19" i="158"/>
  <c r="O19" i="158"/>
  <c r="M19" i="158"/>
  <c r="L19" i="158"/>
  <c r="F19" i="158"/>
  <c r="E19" i="158"/>
  <c r="V18" i="158"/>
  <c r="T18" i="158"/>
  <c r="S18" i="158"/>
  <c r="O18" i="158"/>
  <c r="M18" i="158"/>
  <c r="L18" i="158"/>
  <c r="T17" i="158"/>
  <c r="S17" i="158"/>
  <c r="M17" i="158"/>
  <c r="L17" i="158"/>
  <c r="F17" i="158"/>
  <c r="B17" i="158"/>
  <c r="B18" i="158"/>
  <c r="B19" i="158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V16" i="158"/>
  <c r="T16" i="158"/>
  <c r="S16" i="158"/>
  <c r="M16" i="158"/>
  <c r="L16" i="158"/>
  <c r="F16" i="158"/>
  <c r="E16" i="158"/>
  <c r="T15" i="158"/>
  <c r="S15" i="158"/>
  <c r="O15" i="158"/>
  <c r="M15" i="158"/>
  <c r="L15" i="158"/>
  <c r="F15" i="158"/>
  <c r="E15" i="158"/>
  <c r="T14" i="158"/>
  <c r="S14" i="158"/>
  <c r="O14" i="158"/>
  <c r="M14" i="158"/>
  <c r="L14" i="158"/>
  <c r="F14" i="158"/>
  <c r="B14" i="158"/>
  <c r="B15" i="158" s="1"/>
  <c r="T13" i="158"/>
  <c r="S13" i="158"/>
  <c r="M13" i="158"/>
  <c r="L13" i="158"/>
  <c r="F13" i="158"/>
  <c r="E13" i="158"/>
  <c r="U43" i="157"/>
  <c r="V43" i="157" s="1"/>
  <c r="N43" i="157"/>
  <c r="U42" i="157"/>
  <c r="V42" i="157"/>
  <c r="N42" i="157"/>
  <c r="D42" i="157"/>
  <c r="C42" i="157"/>
  <c r="G43" i="157"/>
  <c r="U41" i="157"/>
  <c r="N41" i="157"/>
  <c r="O41" i="157"/>
  <c r="D41" i="157"/>
  <c r="C41" i="157"/>
  <c r="U40" i="157"/>
  <c r="N40" i="157"/>
  <c r="D40" i="157"/>
  <c r="C40" i="157"/>
  <c r="U39" i="157"/>
  <c r="N39" i="157"/>
  <c r="D39" i="157"/>
  <c r="C39" i="157"/>
  <c r="F39" i="157"/>
  <c r="U38" i="157"/>
  <c r="N38" i="157"/>
  <c r="O38" i="157" s="1"/>
  <c r="D38" i="157"/>
  <c r="C38" i="157"/>
  <c r="G38" i="157"/>
  <c r="U37" i="157"/>
  <c r="V37" i="157"/>
  <c r="N37" i="157"/>
  <c r="D37" i="157"/>
  <c r="E37" i="157" s="1"/>
  <c r="C37" i="157"/>
  <c r="U36" i="157"/>
  <c r="N36" i="157"/>
  <c r="D36" i="157"/>
  <c r="C36" i="157"/>
  <c r="U35" i="157"/>
  <c r="V35" i="157"/>
  <c r="N35" i="157"/>
  <c r="O35" i="157" s="1"/>
  <c r="D35" i="157"/>
  <c r="E35" i="157"/>
  <c r="C35" i="157"/>
  <c r="U34" i="157"/>
  <c r="V34" i="157" s="1"/>
  <c r="N34" i="157"/>
  <c r="O34" i="157"/>
  <c r="D34" i="157"/>
  <c r="C34" i="157"/>
  <c r="G34" i="157" s="1"/>
  <c r="U33" i="157"/>
  <c r="V33" i="157"/>
  <c r="N33" i="157"/>
  <c r="O33" i="157" s="1"/>
  <c r="D33" i="157"/>
  <c r="C33" i="157"/>
  <c r="N32" i="157"/>
  <c r="U32" i="157"/>
  <c r="V32" i="157" s="1"/>
  <c r="D32" i="157"/>
  <c r="C32" i="157"/>
  <c r="U31" i="157"/>
  <c r="V31" i="157" s="1"/>
  <c r="N31" i="157"/>
  <c r="D31" i="157"/>
  <c r="C31" i="157"/>
  <c r="F31" i="157" s="1"/>
  <c r="U30" i="157"/>
  <c r="N30" i="157"/>
  <c r="O30" i="157"/>
  <c r="D30" i="157"/>
  <c r="C30" i="157"/>
  <c r="U29" i="157"/>
  <c r="N29" i="157"/>
  <c r="D29" i="157"/>
  <c r="E29" i="157" s="1"/>
  <c r="C29" i="157"/>
  <c r="U28" i="157"/>
  <c r="N28" i="157"/>
  <c r="O28" i="157" s="1"/>
  <c r="D28" i="157"/>
  <c r="C28" i="157"/>
  <c r="G28" i="157"/>
  <c r="U27" i="157"/>
  <c r="V27" i="157"/>
  <c r="N27" i="157"/>
  <c r="D27" i="157"/>
  <c r="E27" i="157" s="1"/>
  <c r="C27" i="157"/>
  <c r="U26" i="157"/>
  <c r="N26" i="157"/>
  <c r="O26" i="157" s="1"/>
  <c r="D26" i="157"/>
  <c r="C26" i="157"/>
  <c r="G26" i="157"/>
  <c r="U25" i="157"/>
  <c r="V25" i="157"/>
  <c r="N25" i="157"/>
  <c r="D25" i="157"/>
  <c r="E25" i="157" s="1"/>
  <c r="C25" i="157"/>
  <c r="U24" i="157"/>
  <c r="N24" i="157"/>
  <c r="O24" i="157" s="1"/>
  <c r="D24" i="157"/>
  <c r="C24" i="157"/>
  <c r="U23" i="157"/>
  <c r="V23" i="157"/>
  <c r="N23" i="157"/>
  <c r="D23" i="157"/>
  <c r="C23" i="157"/>
  <c r="U22" i="157"/>
  <c r="V22" i="157" s="1"/>
  <c r="N22" i="157"/>
  <c r="O22" i="157"/>
  <c r="D22" i="157"/>
  <c r="C22" i="157"/>
  <c r="U21" i="157"/>
  <c r="V21" i="157"/>
  <c r="N21" i="157"/>
  <c r="O21" i="157"/>
  <c r="D21" i="157"/>
  <c r="C21" i="157"/>
  <c r="U20" i="157"/>
  <c r="N20" i="157"/>
  <c r="O20" i="157" s="1"/>
  <c r="D20" i="157"/>
  <c r="C20" i="157"/>
  <c r="U19" i="157"/>
  <c r="N19" i="157"/>
  <c r="O19" i="157" s="1"/>
  <c r="D19" i="157"/>
  <c r="C19" i="157"/>
  <c r="V30" i="157"/>
  <c r="V20" i="157"/>
  <c r="V41" i="157"/>
  <c r="V26" i="157"/>
  <c r="V24" i="157"/>
  <c r="U18" i="157"/>
  <c r="V18" i="157"/>
  <c r="N18" i="157"/>
  <c r="O18" i="157" s="1"/>
  <c r="D18" i="157"/>
  <c r="C18" i="157"/>
  <c r="U17" i="157"/>
  <c r="N17" i="157"/>
  <c r="D17" i="157"/>
  <c r="C17" i="157"/>
  <c r="U16" i="157"/>
  <c r="N16" i="157"/>
  <c r="O16" i="157" s="1"/>
  <c r="D16" i="157"/>
  <c r="C16" i="157"/>
  <c r="F16" i="157"/>
  <c r="U15" i="157"/>
  <c r="V15" i="157"/>
  <c r="N15" i="157"/>
  <c r="O15" i="157"/>
  <c r="D15" i="157"/>
  <c r="C15" i="157"/>
  <c r="V16" i="157"/>
  <c r="U14" i="157"/>
  <c r="V14" i="157" s="1"/>
  <c r="N14" i="157"/>
  <c r="D14" i="157"/>
  <c r="C14" i="157"/>
  <c r="D13" i="157"/>
  <c r="C13" i="157"/>
  <c r="T43" i="157"/>
  <c r="S43" i="157"/>
  <c r="O43" i="157"/>
  <c r="M43" i="157"/>
  <c r="L43" i="157"/>
  <c r="F43" i="157"/>
  <c r="E43" i="157"/>
  <c r="T42" i="157"/>
  <c r="S42" i="157"/>
  <c r="O42" i="157"/>
  <c r="M42" i="157"/>
  <c r="L42" i="157"/>
  <c r="F42" i="157"/>
  <c r="T41" i="157"/>
  <c r="S41" i="157"/>
  <c r="M41" i="157"/>
  <c r="L41" i="157"/>
  <c r="F41" i="157"/>
  <c r="V40" i="157"/>
  <c r="T40" i="157"/>
  <c r="S40" i="157"/>
  <c r="O40" i="157"/>
  <c r="M40" i="157"/>
  <c r="L40" i="157"/>
  <c r="F40" i="157"/>
  <c r="V39" i="157"/>
  <c r="T39" i="157"/>
  <c r="S39" i="157"/>
  <c r="O39" i="157"/>
  <c r="M39" i="157"/>
  <c r="L39" i="157"/>
  <c r="V38" i="157"/>
  <c r="T38" i="157"/>
  <c r="S38" i="157"/>
  <c r="M38" i="157"/>
  <c r="L38" i="157"/>
  <c r="T37" i="157"/>
  <c r="S37" i="157"/>
  <c r="O37" i="157"/>
  <c r="M37" i="157"/>
  <c r="L37" i="157"/>
  <c r="F37" i="157"/>
  <c r="V36" i="157"/>
  <c r="T36" i="157"/>
  <c r="S36" i="157"/>
  <c r="O36" i="157"/>
  <c r="M36" i="157"/>
  <c r="L36" i="157"/>
  <c r="T35" i="157"/>
  <c r="S35" i="157"/>
  <c r="M35" i="157"/>
  <c r="L35" i="157"/>
  <c r="F35" i="157"/>
  <c r="T34" i="157"/>
  <c r="S34" i="157"/>
  <c r="M34" i="157"/>
  <c r="L34" i="157"/>
  <c r="T33" i="157"/>
  <c r="S33" i="157"/>
  <c r="M33" i="157"/>
  <c r="L33" i="157"/>
  <c r="F33" i="157"/>
  <c r="E33" i="157"/>
  <c r="T32" i="157"/>
  <c r="S32" i="157"/>
  <c r="O32" i="157"/>
  <c r="M32" i="157"/>
  <c r="L32" i="157"/>
  <c r="T31" i="157"/>
  <c r="S31" i="157"/>
  <c r="O31" i="157"/>
  <c r="M31" i="157"/>
  <c r="L31" i="157"/>
  <c r="T30" i="157"/>
  <c r="S30" i="157"/>
  <c r="M30" i="157"/>
  <c r="L30" i="157"/>
  <c r="V29" i="157"/>
  <c r="T29" i="157"/>
  <c r="S29" i="157"/>
  <c r="O29" i="157"/>
  <c r="M29" i="157"/>
  <c r="L29" i="157"/>
  <c r="F29" i="157"/>
  <c r="V28" i="157"/>
  <c r="T28" i="157"/>
  <c r="S28" i="157"/>
  <c r="M28" i="157"/>
  <c r="L28" i="157"/>
  <c r="F28" i="157"/>
  <c r="T27" i="157"/>
  <c r="S27" i="157"/>
  <c r="O27" i="157"/>
  <c r="M27" i="157"/>
  <c r="L27" i="157"/>
  <c r="F27" i="157"/>
  <c r="T26" i="157"/>
  <c r="S26" i="157"/>
  <c r="M26" i="157"/>
  <c r="L26" i="157"/>
  <c r="F26" i="157"/>
  <c r="T25" i="157"/>
  <c r="S25" i="157"/>
  <c r="O25" i="157"/>
  <c r="M25" i="157"/>
  <c r="L25" i="157"/>
  <c r="F25" i="157"/>
  <c r="T24" i="157"/>
  <c r="S24" i="157"/>
  <c r="M24" i="157"/>
  <c r="L24" i="157"/>
  <c r="T23" i="157"/>
  <c r="S23" i="157"/>
  <c r="O23" i="157"/>
  <c r="M23" i="157"/>
  <c r="L23" i="157"/>
  <c r="F23" i="157"/>
  <c r="E23" i="157"/>
  <c r="T22" i="157"/>
  <c r="S22" i="157"/>
  <c r="M22" i="157"/>
  <c r="L22" i="157"/>
  <c r="T21" i="157"/>
  <c r="S21" i="157"/>
  <c r="M21" i="157"/>
  <c r="L21" i="157"/>
  <c r="F21" i="157"/>
  <c r="T20" i="157"/>
  <c r="S20" i="157"/>
  <c r="M20" i="157"/>
  <c r="L20" i="157"/>
  <c r="F20" i="157"/>
  <c r="V19" i="157"/>
  <c r="T19" i="157"/>
  <c r="S19" i="157"/>
  <c r="M19" i="157"/>
  <c r="L19" i="157"/>
  <c r="F19" i="157"/>
  <c r="T18" i="157"/>
  <c r="S18" i="157"/>
  <c r="M18" i="157"/>
  <c r="L18" i="157"/>
  <c r="T17" i="157"/>
  <c r="S17" i="157"/>
  <c r="O17" i="157"/>
  <c r="M17" i="157"/>
  <c r="L17" i="157"/>
  <c r="F17" i="157"/>
  <c r="B17" i="157"/>
  <c r="B18" i="157" s="1"/>
  <c r="B19" i="157" s="1"/>
  <c r="B20" i="157" s="1"/>
  <c r="B21" i="157" s="1"/>
  <c r="B22" i="157" s="1"/>
  <c r="B23" i="157" s="1"/>
  <c r="B24" i="157" s="1"/>
  <c r="B25" i="157" s="1"/>
  <c r="B26" i="157" s="1"/>
  <c r="B27" i="157" s="1"/>
  <c r="B28" i="157" s="1"/>
  <c r="B29" i="157" s="1"/>
  <c r="B30" i="157" s="1"/>
  <c r="B31" i="157" s="1"/>
  <c r="B32" i="157" s="1"/>
  <c r="B33" i="157" s="1"/>
  <c r="B34" i="157" s="1"/>
  <c r="B35" i="157" s="1"/>
  <c r="B36" i="157" s="1"/>
  <c r="B37" i="157" s="1"/>
  <c r="B38" i="157" s="1"/>
  <c r="B39" i="157" s="1"/>
  <c r="B40" i="157" s="1"/>
  <c r="B41" i="157" s="1"/>
  <c r="T16" i="157"/>
  <c r="S16" i="157"/>
  <c r="M16" i="157"/>
  <c r="L16" i="157"/>
  <c r="T15" i="157"/>
  <c r="S15" i="157"/>
  <c r="M15" i="157"/>
  <c r="L15" i="157"/>
  <c r="F15" i="157"/>
  <c r="T14" i="157"/>
  <c r="S14" i="157"/>
  <c r="O14" i="157"/>
  <c r="M14" i="157"/>
  <c r="L14" i="157"/>
  <c r="B14" i="157"/>
  <c r="B15" i="157"/>
  <c r="T13" i="157"/>
  <c r="S13" i="157"/>
  <c r="M13" i="157"/>
  <c r="L13" i="157"/>
  <c r="U43" i="156"/>
  <c r="N43" i="156"/>
  <c r="U42" i="156"/>
  <c r="V42" i="156"/>
  <c r="N42" i="156"/>
  <c r="D42" i="156"/>
  <c r="C42" i="156"/>
  <c r="G43" i="156"/>
  <c r="U41" i="156"/>
  <c r="V41" i="156"/>
  <c r="N41" i="156"/>
  <c r="D41" i="156"/>
  <c r="C41" i="156"/>
  <c r="U40" i="156"/>
  <c r="N40" i="156"/>
  <c r="O40" i="156"/>
  <c r="D40" i="156"/>
  <c r="C40" i="156"/>
  <c r="U39" i="156"/>
  <c r="N39" i="156"/>
  <c r="D39" i="156"/>
  <c r="C39" i="156"/>
  <c r="G39" i="156"/>
  <c r="F39" i="156"/>
  <c r="U38" i="156"/>
  <c r="N38" i="156"/>
  <c r="D38" i="156"/>
  <c r="E38" i="156"/>
  <c r="C38" i="156"/>
  <c r="U37" i="156"/>
  <c r="N37" i="156"/>
  <c r="O37" i="156"/>
  <c r="D37" i="156"/>
  <c r="C37" i="156"/>
  <c r="U36" i="156"/>
  <c r="V36" i="156" s="1"/>
  <c r="N36" i="156"/>
  <c r="D36" i="156"/>
  <c r="C36" i="156"/>
  <c r="F36" i="156" s="1"/>
  <c r="U35" i="156"/>
  <c r="N35" i="156"/>
  <c r="O35" i="156"/>
  <c r="D35" i="156"/>
  <c r="C35" i="156"/>
  <c r="U34" i="156"/>
  <c r="N34" i="156"/>
  <c r="D34" i="156"/>
  <c r="C34" i="156"/>
  <c r="U33" i="156"/>
  <c r="N33" i="156"/>
  <c r="D33" i="156"/>
  <c r="C33" i="156"/>
  <c r="U32" i="156"/>
  <c r="V32" i="156"/>
  <c r="N32" i="156"/>
  <c r="O32" i="156" s="1"/>
  <c r="D32" i="156"/>
  <c r="C32" i="156"/>
  <c r="U31" i="156"/>
  <c r="N31" i="156"/>
  <c r="O31" i="156" s="1"/>
  <c r="D31" i="156"/>
  <c r="C31" i="156"/>
  <c r="F31" i="156"/>
  <c r="U30" i="156"/>
  <c r="N30" i="156"/>
  <c r="D30" i="156"/>
  <c r="C30" i="156"/>
  <c r="U29" i="156"/>
  <c r="V29" i="156"/>
  <c r="N29" i="156"/>
  <c r="O29" i="156"/>
  <c r="D29" i="156"/>
  <c r="C29" i="156"/>
  <c r="F29" i="156"/>
  <c r="U28" i="156"/>
  <c r="V28" i="156" s="1"/>
  <c r="N28" i="156"/>
  <c r="O28" i="156"/>
  <c r="D28" i="156"/>
  <c r="C28" i="156"/>
  <c r="G28" i="156" s="1"/>
  <c r="U27" i="156"/>
  <c r="N27" i="156"/>
  <c r="D27" i="156"/>
  <c r="E27" i="156" s="1"/>
  <c r="C27" i="156"/>
  <c r="N26" i="156"/>
  <c r="D26" i="156"/>
  <c r="C26" i="156"/>
  <c r="G27" i="156"/>
  <c r="U25" i="156"/>
  <c r="V25" i="156"/>
  <c r="N25" i="156"/>
  <c r="D25" i="156"/>
  <c r="C25" i="156"/>
  <c r="U24" i="156"/>
  <c r="N24" i="156"/>
  <c r="O24" i="156"/>
  <c r="D24" i="156"/>
  <c r="C24" i="156"/>
  <c r="G24" i="156" s="1"/>
  <c r="V43" i="156"/>
  <c r="V24" i="156"/>
  <c r="U23" i="156"/>
  <c r="V23" i="156"/>
  <c r="N23" i="156"/>
  <c r="D23" i="156"/>
  <c r="C23" i="156"/>
  <c r="N22" i="156"/>
  <c r="D22" i="156"/>
  <c r="E22" i="156"/>
  <c r="C22" i="156"/>
  <c r="G23" i="156"/>
  <c r="U21" i="156"/>
  <c r="V21" i="156"/>
  <c r="N21" i="156"/>
  <c r="D21" i="156"/>
  <c r="C21" i="156"/>
  <c r="G21" i="156"/>
  <c r="N20" i="156"/>
  <c r="D20" i="156"/>
  <c r="C20" i="156"/>
  <c r="U19" i="156"/>
  <c r="V19" i="156" s="1"/>
  <c r="N19" i="156"/>
  <c r="D19" i="156"/>
  <c r="C19" i="156"/>
  <c r="G20" i="156" s="1"/>
  <c r="N18" i="156"/>
  <c r="D18" i="156"/>
  <c r="C18" i="156"/>
  <c r="D17" i="156"/>
  <c r="C17" i="156"/>
  <c r="N16" i="156"/>
  <c r="O16" i="156" s="1"/>
  <c r="D16" i="156"/>
  <c r="C16" i="156"/>
  <c r="N15" i="156"/>
  <c r="D15" i="156"/>
  <c r="C15" i="156"/>
  <c r="G16" i="156"/>
  <c r="N14" i="156"/>
  <c r="O14" i="156" s="1"/>
  <c r="D14" i="156"/>
  <c r="C14" i="156"/>
  <c r="AA14" i="155"/>
  <c r="C13" i="156"/>
  <c r="G14" i="156"/>
  <c r="D13" i="156"/>
  <c r="G13" i="156"/>
  <c r="H13" i="156" s="1"/>
  <c r="N13" i="156"/>
  <c r="T43" i="156"/>
  <c r="S43" i="156"/>
  <c r="O43" i="156"/>
  <c r="M43" i="156"/>
  <c r="L43" i="156"/>
  <c r="F43" i="156"/>
  <c r="E43" i="156"/>
  <c r="T42" i="156"/>
  <c r="S42" i="156"/>
  <c r="O42" i="156"/>
  <c r="M42" i="156"/>
  <c r="L42" i="156"/>
  <c r="F42" i="156"/>
  <c r="E42" i="156"/>
  <c r="T41" i="156"/>
  <c r="S41" i="156"/>
  <c r="O41" i="156"/>
  <c r="M41" i="156"/>
  <c r="L41" i="156"/>
  <c r="F41" i="156"/>
  <c r="V40" i="156"/>
  <c r="T40" i="156"/>
  <c r="S40" i="156"/>
  <c r="M40" i="156"/>
  <c r="L40" i="156"/>
  <c r="F40" i="156"/>
  <c r="V39" i="156"/>
  <c r="T39" i="156"/>
  <c r="S39" i="156"/>
  <c r="O39" i="156"/>
  <c r="M39" i="156"/>
  <c r="L39" i="156"/>
  <c r="V38" i="156"/>
  <c r="T38" i="156"/>
  <c r="S38" i="156"/>
  <c r="O38" i="156"/>
  <c r="M38" i="156"/>
  <c r="L38" i="156"/>
  <c r="F38" i="156"/>
  <c r="V37" i="156"/>
  <c r="T37" i="156"/>
  <c r="S37" i="156"/>
  <c r="M37" i="156"/>
  <c r="L37" i="156"/>
  <c r="F37" i="156"/>
  <c r="T36" i="156"/>
  <c r="S36" i="156"/>
  <c r="O36" i="156"/>
  <c r="M36" i="156"/>
  <c r="L36" i="156"/>
  <c r="V35" i="156"/>
  <c r="T35" i="156"/>
  <c r="S35" i="156"/>
  <c r="M35" i="156"/>
  <c r="L35" i="156"/>
  <c r="V34" i="156"/>
  <c r="T34" i="156"/>
  <c r="S34" i="156"/>
  <c r="O34" i="156"/>
  <c r="M34" i="156"/>
  <c r="L34" i="156"/>
  <c r="F34" i="156"/>
  <c r="V33" i="156"/>
  <c r="T33" i="156"/>
  <c r="S33" i="156"/>
  <c r="O33" i="156"/>
  <c r="M33" i="156"/>
  <c r="L33" i="156"/>
  <c r="E33" i="156"/>
  <c r="T32" i="156"/>
  <c r="S32" i="156"/>
  <c r="M32" i="156"/>
  <c r="L32" i="156"/>
  <c r="F32" i="156"/>
  <c r="V31" i="156"/>
  <c r="T31" i="156"/>
  <c r="S31" i="156"/>
  <c r="M31" i="156"/>
  <c r="L31" i="156"/>
  <c r="E31" i="156"/>
  <c r="V30" i="156"/>
  <c r="T30" i="156"/>
  <c r="S30" i="156"/>
  <c r="O30" i="156"/>
  <c r="M30" i="156"/>
  <c r="L30" i="156"/>
  <c r="T29" i="156"/>
  <c r="S29" i="156"/>
  <c r="M29" i="156"/>
  <c r="L29" i="156"/>
  <c r="E29" i="156"/>
  <c r="T28" i="156"/>
  <c r="S28" i="156"/>
  <c r="M28" i="156"/>
  <c r="L28" i="156"/>
  <c r="V27" i="156"/>
  <c r="T27" i="156"/>
  <c r="S27" i="156"/>
  <c r="O27" i="156"/>
  <c r="M27" i="156"/>
  <c r="L27" i="156"/>
  <c r="F27" i="156"/>
  <c r="T26" i="156"/>
  <c r="S26" i="156"/>
  <c r="O26" i="156"/>
  <c r="M26" i="156"/>
  <c r="L26" i="156"/>
  <c r="F26" i="156"/>
  <c r="T25" i="156"/>
  <c r="S25" i="156"/>
  <c r="O25" i="156"/>
  <c r="M25" i="156"/>
  <c r="L25" i="156"/>
  <c r="F25" i="156"/>
  <c r="E25" i="156"/>
  <c r="T24" i="156"/>
  <c r="S24" i="156"/>
  <c r="M24" i="156"/>
  <c r="L24" i="156"/>
  <c r="F24" i="156"/>
  <c r="T23" i="156"/>
  <c r="S23" i="156"/>
  <c r="O23" i="156"/>
  <c r="M23" i="156"/>
  <c r="L23" i="156"/>
  <c r="F23" i="156"/>
  <c r="T22" i="156"/>
  <c r="S22" i="156"/>
  <c r="O22" i="156"/>
  <c r="M22" i="156"/>
  <c r="L22" i="156"/>
  <c r="F22" i="156"/>
  <c r="T21" i="156"/>
  <c r="S21" i="156"/>
  <c r="O21" i="156"/>
  <c r="M21" i="156"/>
  <c r="L21" i="156"/>
  <c r="F21" i="156"/>
  <c r="T20" i="156"/>
  <c r="S20" i="156"/>
  <c r="O20" i="156"/>
  <c r="M20" i="156"/>
  <c r="L20" i="156"/>
  <c r="E20" i="156"/>
  <c r="T19" i="156"/>
  <c r="S19" i="156"/>
  <c r="O19" i="156"/>
  <c r="M19" i="156"/>
  <c r="L19" i="156"/>
  <c r="T18" i="156"/>
  <c r="S18" i="156"/>
  <c r="O18" i="156"/>
  <c r="M18" i="156"/>
  <c r="L18" i="156"/>
  <c r="T17" i="156"/>
  <c r="S17" i="156"/>
  <c r="O17" i="156"/>
  <c r="M17" i="156"/>
  <c r="L17" i="156"/>
  <c r="B17" i="156"/>
  <c r="B18" i="156"/>
  <c r="B19" i="156" s="1"/>
  <c r="B20" i="156" s="1"/>
  <c r="B21" i="156" s="1"/>
  <c r="B22" i="156" s="1"/>
  <c r="B23" i="156" s="1"/>
  <c r="B24" i="156" s="1"/>
  <c r="B25" i="156" s="1"/>
  <c r="B26" i="156" s="1"/>
  <c r="B27" i="156" s="1"/>
  <c r="B28" i="156" s="1"/>
  <c r="B29" i="156" s="1"/>
  <c r="B30" i="156" s="1"/>
  <c r="B31" i="156" s="1"/>
  <c r="B32" i="156" s="1"/>
  <c r="B33" i="156" s="1"/>
  <c r="B34" i="156" s="1"/>
  <c r="B35" i="156" s="1"/>
  <c r="B36" i="156" s="1"/>
  <c r="B37" i="156" s="1"/>
  <c r="B38" i="156" s="1"/>
  <c r="B39" i="156" s="1"/>
  <c r="B40" i="156" s="1"/>
  <c r="B41" i="156" s="1"/>
  <c r="T16" i="156"/>
  <c r="S16" i="156"/>
  <c r="M16" i="156"/>
  <c r="L16" i="156"/>
  <c r="F16" i="156"/>
  <c r="T15" i="156"/>
  <c r="S15" i="156"/>
  <c r="M15" i="156"/>
  <c r="L15" i="156"/>
  <c r="T14" i="156"/>
  <c r="S14" i="156"/>
  <c r="M14" i="156"/>
  <c r="L14" i="156"/>
  <c r="B14" i="156"/>
  <c r="B15" i="156"/>
  <c r="T13" i="156"/>
  <c r="S13" i="156"/>
  <c r="M13" i="156"/>
  <c r="L13" i="156"/>
  <c r="U42" i="155"/>
  <c r="N42" i="155"/>
  <c r="U41" i="155"/>
  <c r="V41" i="155"/>
  <c r="N41" i="155"/>
  <c r="D41" i="155"/>
  <c r="C41" i="155"/>
  <c r="E41" i="155"/>
  <c r="U40" i="155"/>
  <c r="N40" i="155"/>
  <c r="O40" i="155"/>
  <c r="D40" i="155"/>
  <c r="C40" i="155"/>
  <c r="G40" i="155"/>
  <c r="U39" i="155"/>
  <c r="V39" i="155"/>
  <c r="N39" i="155"/>
  <c r="D39" i="155"/>
  <c r="C39" i="155"/>
  <c r="E39" i="155"/>
  <c r="U38" i="155"/>
  <c r="N38" i="155"/>
  <c r="O38" i="155"/>
  <c r="D38" i="155"/>
  <c r="C38" i="155"/>
  <c r="G38" i="155"/>
  <c r="U37" i="155"/>
  <c r="V37" i="155"/>
  <c r="N37" i="155"/>
  <c r="D37" i="155"/>
  <c r="C37" i="155"/>
  <c r="E37" i="155"/>
  <c r="U36" i="155"/>
  <c r="N36" i="155"/>
  <c r="D36" i="155"/>
  <c r="C36" i="155"/>
  <c r="U35" i="155"/>
  <c r="N35" i="155"/>
  <c r="D35" i="155"/>
  <c r="C35" i="155"/>
  <c r="U34" i="155"/>
  <c r="N34" i="155"/>
  <c r="D34" i="155"/>
  <c r="C34" i="155"/>
  <c r="U33" i="155"/>
  <c r="N33" i="155"/>
  <c r="D33" i="155"/>
  <c r="E33" i="155" s="1"/>
  <c r="C33" i="155"/>
  <c r="U32" i="155"/>
  <c r="V32" i="155" s="1"/>
  <c r="N32" i="155"/>
  <c r="D32" i="155"/>
  <c r="C32" i="155"/>
  <c r="U31" i="155"/>
  <c r="V31" i="155"/>
  <c r="N31" i="155"/>
  <c r="D31" i="155"/>
  <c r="C31" i="155"/>
  <c r="U30" i="155"/>
  <c r="V30" i="155"/>
  <c r="N30" i="155"/>
  <c r="D30" i="155"/>
  <c r="C30" i="155"/>
  <c r="G31" i="155"/>
  <c r="N29" i="155"/>
  <c r="O29" i="155" s="1"/>
  <c r="D29" i="155"/>
  <c r="C29" i="155"/>
  <c r="N28" i="155"/>
  <c r="O28" i="155"/>
  <c r="D28" i="155"/>
  <c r="C28" i="155"/>
  <c r="D27" i="155"/>
  <c r="U27" i="155"/>
  <c r="V27" i="155" s="1"/>
  <c r="N27" i="155"/>
  <c r="O27" i="155"/>
  <c r="C27" i="155"/>
  <c r="U26" i="155"/>
  <c r="V26" i="155" s="1"/>
  <c r="N26" i="155"/>
  <c r="D26" i="155"/>
  <c r="C26" i="155"/>
  <c r="G27" i="155" s="1"/>
  <c r="N25" i="155"/>
  <c r="D25" i="155"/>
  <c r="C25" i="155"/>
  <c r="N24" i="155"/>
  <c r="D24" i="155"/>
  <c r="C24" i="155"/>
  <c r="U23" i="155"/>
  <c r="N23" i="155"/>
  <c r="D23" i="155"/>
  <c r="C23" i="155"/>
  <c r="U22" i="155"/>
  <c r="N22" i="155"/>
  <c r="D22" i="155"/>
  <c r="C22" i="155"/>
  <c r="U21" i="155"/>
  <c r="V21" i="155"/>
  <c r="N21" i="155"/>
  <c r="O21" i="155"/>
  <c r="D21" i="155"/>
  <c r="C21" i="155"/>
  <c r="N20" i="155"/>
  <c r="D20" i="155"/>
  <c r="C20" i="155"/>
  <c r="N19" i="155"/>
  <c r="O19" i="155" s="1"/>
  <c r="D19" i="155"/>
  <c r="C19" i="155"/>
  <c r="G20" i="155"/>
  <c r="N18" i="155"/>
  <c r="O18" i="155"/>
  <c r="D18" i="155"/>
  <c r="C18" i="155"/>
  <c r="C17" i="155"/>
  <c r="N17" i="155"/>
  <c r="D17" i="155"/>
  <c r="U16" i="155"/>
  <c r="N16" i="155"/>
  <c r="D16" i="155"/>
  <c r="C16" i="155"/>
  <c r="E16" i="155" s="1"/>
  <c r="U15" i="155"/>
  <c r="N15" i="155"/>
  <c r="O15" i="155"/>
  <c r="D15" i="155"/>
  <c r="C15" i="155"/>
  <c r="U14" i="155"/>
  <c r="V14" i="155"/>
  <c r="N14" i="155"/>
  <c r="O14" i="155"/>
  <c r="D14" i="155"/>
  <c r="C14" i="155"/>
  <c r="G15" i="155" s="1"/>
  <c r="N13" i="155"/>
  <c r="C13" i="155"/>
  <c r="G13" i="155"/>
  <c r="H13" i="155" s="1"/>
  <c r="D13" i="155"/>
  <c r="V43" i="155"/>
  <c r="T43" i="155"/>
  <c r="S43" i="155"/>
  <c r="O43" i="155"/>
  <c r="M43" i="155"/>
  <c r="L43" i="155"/>
  <c r="E43" i="155"/>
  <c r="V42" i="155"/>
  <c r="T42" i="155"/>
  <c r="S42" i="155"/>
  <c r="O42" i="155"/>
  <c r="M42" i="155"/>
  <c r="L42" i="155"/>
  <c r="E42" i="155"/>
  <c r="T41" i="155"/>
  <c r="S41" i="155"/>
  <c r="O41" i="155"/>
  <c r="M41" i="155"/>
  <c r="L41" i="155"/>
  <c r="V40" i="155"/>
  <c r="T40" i="155"/>
  <c r="S40" i="155"/>
  <c r="M40" i="155"/>
  <c r="L40" i="155"/>
  <c r="F40" i="155"/>
  <c r="T39" i="155"/>
  <c r="S39" i="155"/>
  <c r="O39" i="155"/>
  <c r="M39" i="155"/>
  <c r="L39" i="155"/>
  <c r="V38" i="155"/>
  <c r="T38" i="155"/>
  <c r="S38" i="155"/>
  <c r="M38" i="155"/>
  <c r="L38" i="155"/>
  <c r="T37" i="155"/>
  <c r="S37" i="155"/>
  <c r="O37" i="155"/>
  <c r="M37" i="155"/>
  <c r="L37" i="155"/>
  <c r="T36" i="155"/>
  <c r="S36" i="155"/>
  <c r="O36" i="155"/>
  <c r="M36" i="155"/>
  <c r="L36" i="155"/>
  <c r="V35" i="155"/>
  <c r="T35" i="155"/>
  <c r="S35" i="155"/>
  <c r="O35" i="155"/>
  <c r="M35" i="155"/>
  <c r="L35" i="155"/>
  <c r="V34" i="155"/>
  <c r="T34" i="155"/>
  <c r="S34" i="155"/>
  <c r="O34" i="155"/>
  <c r="M34" i="155"/>
  <c r="L34" i="155"/>
  <c r="V33" i="155"/>
  <c r="T33" i="155"/>
  <c r="S33" i="155"/>
  <c r="O33" i="155"/>
  <c r="M33" i="155"/>
  <c r="L33" i="155"/>
  <c r="T32" i="155"/>
  <c r="S32" i="155"/>
  <c r="O32" i="155"/>
  <c r="M32" i="155"/>
  <c r="L32" i="155"/>
  <c r="T31" i="155"/>
  <c r="S31" i="155"/>
  <c r="O31" i="155"/>
  <c r="M31" i="155"/>
  <c r="L31" i="155"/>
  <c r="T30" i="155"/>
  <c r="S30" i="155"/>
  <c r="O30" i="155"/>
  <c r="M30" i="155"/>
  <c r="L30" i="155"/>
  <c r="F30" i="155"/>
  <c r="T29" i="155"/>
  <c r="S29" i="155"/>
  <c r="M29" i="155"/>
  <c r="L29" i="155"/>
  <c r="T28" i="155"/>
  <c r="S28" i="155"/>
  <c r="M28" i="155"/>
  <c r="L28" i="155"/>
  <c r="T27" i="155"/>
  <c r="S27" i="155"/>
  <c r="M27" i="155"/>
  <c r="L27" i="155"/>
  <c r="E27" i="155"/>
  <c r="T26" i="155"/>
  <c r="S26" i="155"/>
  <c r="O26" i="155"/>
  <c r="M26" i="155"/>
  <c r="L26" i="155"/>
  <c r="F26" i="155"/>
  <c r="T25" i="155"/>
  <c r="S25" i="155"/>
  <c r="O25" i="155"/>
  <c r="M25" i="155"/>
  <c r="L25" i="155"/>
  <c r="T24" i="155"/>
  <c r="S24" i="155"/>
  <c r="O24" i="155"/>
  <c r="M24" i="155"/>
  <c r="L24" i="155"/>
  <c r="T23" i="155"/>
  <c r="S23" i="155"/>
  <c r="O23" i="155"/>
  <c r="M23" i="155"/>
  <c r="L23" i="155"/>
  <c r="V22" i="155"/>
  <c r="T22" i="155"/>
  <c r="S22" i="155"/>
  <c r="O22" i="155"/>
  <c r="M22" i="155"/>
  <c r="L22" i="155"/>
  <c r="T21" i="155"/>
  <c r="S21" i="155"/>
  <c r="M21" i="155"/>
  <c r="L21" i="155"/>
  <c r="F21" i="155"/>
  <c r="T20" i="155"/>
  <c r="S20" i="155"/>
  <c r="O20" i="155"/>
  <c r="M20" i="155"/>
  <c r="L20" i="155"/>
  <c r="E20" i="155"/>
  <c r="T19" i="155"/>
  <c r="S19" i="155"/>
  <c r="M19" i="155"/>
  <c r="L19" i="155"/>
  <c r="F19" i="155"/>
  <c r="T18" i="155"/>
  <c r="S18" i="155"/>
  <c r="M18" i="155"/>
  <c r="L18" i="155"/>
  <c r="T17" i="155"/>
  <c r="S17" i="155"/>
  <c r="O17" i="155"/>
  <c r="M17" i="155"/>
  <c r="L17" i="155"/>
  <c r="F17" i="155"/>
  <c r="B17" i="155"/>
  <c r="B18" i="155" s="1"/>
  <c r="B19" i="155" s="1"/>
  <c r="B20" i="155" s="1"/>
  <c r="B21" i="155" s="1"/>
  <c r="B22" i="155" s="1"/>
  <c r="B23" i="155" s="1"/>
  <c r="B24" i="155" s="1"/>
  <c r="B25" i="155" s="1"/>
  <c r="B26" i="155" s="1"/>
  <c r="B27" i="155" s="1"/>
  <c r="B28" i="155" s="1"/>
  <c r="B29" i="155" s="1"/>
  <c r="B30" i="155" s="1"/>
  <c r="B31" i="155" s="1"/>
  <c r="B32" i="155" s="1"/>
  <c r="B33" i="155" s="1"/>
  <c r="B34" i="155" s="1"/>
  <c r="B35" i="155" s="1"/>
  <c r="B36" i="155" s="1"/>
  <c r="B37" i="155" s="1"/>
  <c r="B38" i="155" s="1"/>
  <c r="B39" i="155" s="1"/>
  <c r="B40" i="155" s="1"/>
  <c r="B41" i="155" s="1"/>
  <c r="T16" i="155"/>
  <c r="S16" i="155"/>
  <c r="O16" i="155"/>
  <c r="M16" i="155"/>
  <c r="L16" i="155"/>
  <c r="V15" i="155"/>
  <c r="T15" i="155"/>
  <c r="S15" i="155"/>
  <c r="M15" i="155"/>
  <c r="L15" i="155"/>
  <c r="F15" i="155"/>
  <c r="T14" i="155"/>
  <c r="S14" i="155"/>
  <c r="M14" i="155"/>
  <c r="L14" i="155"/>
  <c r="B14" i="155"/>
  <c r="B15" i="155" s="1"/>
  <c r="T13" i="155"/>
  <c r="S13" i="155"/>
  <c r="M13" i="155"/>
  <c r="L13" i="155"/>
  <c r="F43" i="155"/>
  <c r="U43" i="154"/>
  <c r="N43" i="154"/>
  <c r="O43" i="154" s="1"/>
  <c r="U42" i="154"/>
  <c r="V42" i="154" s="1"/>
  <c r="N42" i="154"/>
  <c r="D42" i="154"/>
  <c r="C42" i="154"/>
  <c r="E42" i="154" s="1"/>
  <c r="U41" i="154"/>
  <c r="V41" i="154"/>
  <c r="N41" i="154"/>
  <c r="D41" i="154"/>
  <c r="C41" i="154"/>
  <c r="G41" i="154"/>
  <c r="U40" i="154"/>
  <c r="V40" i="154"/>
  <c r="N40" i="154"/>
  <c r="D40" i="154"/>
  <c r="C40" i="154"/>
  <c r="E40" i="154"/>
  <c r="U39" i="154"/>
  <c r="V39" i="154"/>
  <c r="N39" i="154"/>
  <c r="D39" i="154"/>
  <c r="C39" i="154"/>
  <c r="G40" i="154"/>
  <c r="U38" i="154"/>
  <c r="V38" i="154"/>
  <c r="N38" i="154"/>
  <c r="D38" i="154"/>
  <c r="C38" i="154"/>
  <c r="U37" i="154"/>
  <c r="N37" i="154"/>
  <c r="O37" i="154" s="1"/>
  <c r="D37" i="154"/>
  <c r="C37" i="154"/>
  <c r="U36" i="154"/>
  <c r="V36" i="154" s="1"/>
  <c r="N36" i="154"/>
  <c r="D36" i="154"/>
  <c r="C36" i="154"/>
  <c r="U35" i="154"/>
  <c r="V35" i="154" s="1"/>
  <c r="N35" i="154"/>
  <c r="D35" i="154"/>
  <c r="C35" i="154"/>
  <c r="U34" i="154"/>
  <c r="V34" i="154" s="1"/>
  <c r="N34" i="154"/>
  <c r="O34" i="154" s="1"/>
  <c r="D34" i="154"/>
  <c r="C34" i="154"/>
  <c r="U33" i="154"/>
  <c r="N33" i="154"/>
  <c r="O33" i="154" s="1"/>
  <c r="D33" i="154"/>
  <c r="E33" i="154" s="1"/>
  <c r="C33" i="154"/>
  <c r="G34" i="154"/>
  <c r="N32" i="154"/>
  <c r="D32" i="154"/>
  <c r="C32" i="154"/>
  <c r="U31" i="154"/>
  <c r="N31" i="154"/>
  <c r="D31" i="154"/>
  <c r="C31" i="154"/>
  <c r="U30" i="154"/>
  <c r="V30" i="154" s="1"/>
  <c r="N30" i="154"/>
  <c r="O30" i="154"/>
  <c r="D30" i="154"/>
  <c r="C30" i="154"/>
  <c r="U29" i="154"/>
  <c r="N29" i="154"/>
  <c r="C29" i="154"/>
  <c r="D29" i="154"/>
  <c r="E29" i="154" s="1"/>
  <c r="U28" i="154"/>
  <c r="V28" i="154" s="1"/>
  <c r="N28" i="154"/>
  <c r="O28" i="154" s="1"/>
  <c r="D28" i="154"/>
  <c r="C28" i="154"/>
  <c r="U27" i="154"/>
  <c r="V27" i="154" s="1"/>
  <c r="N27" i="154"/>
  <c r="D27" i="154"/>
  <c r="C27" i="154"/>
  <c r="U26" i="154"/>
  <c r="V26" i="154"/>
  <c r="N26" i="154"/>
  <c r="D26" i="154"/>
  <c r="C26" i="154"/>
  <c r="U25" i="154"/>
  <c r="V25" i="154" s="1"/>
  <c r="N25" i="154"/>
  <c r="D25" i="154"/>
  <c r="C25" i="154"/>
  <c r="G26" i="154"/>
  <c r="U24" i="154"/>
  <c r="N24" i="154"/>
  <c r="O24" i="154"/>
  <c r="D24" i="154"/>
  <c r="C24" i="154"/>
  <c r="U23" i="154"/>
  <c r="N23" i="154"/>
  <c r="O23" i="154" s="1"/>
  <c r="D23" i="154"/>
  <c r="C23" i="154"/>
  <c r="U22" i="154"/>
  <c r="N22" i="154"/>
  <c r="O22" i="154" s="1"/>
  <c r="D22" i="154"/>
  <c r="C22" i="154"/>
  <c r="G22" i="154" s="1"/>
  <c r="H22" i="154" s="1"/>
  <c r="U21" i="154"/>
  <c r="N21" i="154"/>
  <c r="D21" i="154"/>
  <c r="C21" i="154"/>
  <c r="F21" i="154" s="1"/>
  <c r="U20" i="154"/>
  <c r="N20" i="154"/>
  <c r="D20" i="154"/>
  <c r="C20" i="154"/>
  <c r="N19" i="154"/>
  <c r="D19" i="154"/>
  <c r="C19" i="154"/>
  <c r="U18" i="154"/>
  <c r="N18" i="154"/>
  <c r="D18" i="154"/>
  <c r="C18" i="154"/>
  <c r="U17" i="154"/>
  <c r="V17" i="154" s="1"/>
  <c r="N17" i="154"/>
  <c r="D17" i="154"/>
  <c r="C17" i="154"/>
  <c r="U16" i="154"/>
  <c r="V16" i="154" s="1"/>
  <c r="N16" i="154"/>
  <c r="D16" i="154"/>
  <c r="C16" i="154"/>
  <c r="G17" i="154" s="1"/>
  <c r="U15" i="154"/>
  <c r="V15" i="154" s="1"/>
  <c r="N15" i="154"/>
  <c r="D15" i="154"/>
  <c r="C15" i="154"/>
  <c r="G15" i="154" s="1"/>
  <c r="U14" i="154"/>
  <c r="N14" i="154"/>
  <c r="O14" i="154" s="1"/>
  <c r="D14" i="154"/>
  <c r="C14" i="154"/>
  <c r="D13" i="154"/>
  <c r="C13" i="154"/>
  <c r="E9" i="154"/>
  <c r="F18" i="154" s="1"/>
  <c r="F14" i="154"/>
  <c r="V43" i="154"/>
  <c r="T43" i="154"/>
  <c r="S43" i="154"/>
  <c r="L43" i="154"/>
  <c r="E43" i="154"/>
  <c r="T42" i="154"/>
  <c r="S42" i="154"/>
  <c r="O42" i="154"/>
  <c r="L42" i="154"/>
  <c r="T41" i="154"/>
  <c r="S41" i="154"/>
  <c r="O41" i="154"/>
  <c r="L41" i="154"/>
  <c r="T40" i="154"/>
  <c r="S40" i="154"/>
  <c r="O40" i="154"/>
  <c r="L40" i="154"/>
  <c r="T39" i="154"/>
  <c r="S39" i="154"/>
  <c r="O39" i="154"/>
  <c r="L39" i="154"/>
  <c r="F39" i="154"/>
  <c r="T38" i="154"/>
  <c r="S38" i="154"/>
  <c r="O38" i="154"/>
  <c r="L38" i="154"/>
  <c r="V37" i="154"/>
  <c r="T37" i="154"/>
  <c r="S37" i="154"/>
  <c r="L37" i="154"/>
  <c r="T36" i="154"/>
  <c r="S36" i="154"/>
  <c r="O36" i="154"/>
  <c r="L36" i="154"/>
  <c r="E36" i="154"/>
  <c r="T35" i="154"/>
  <c r="S35" i="154"/>
  <c r="O35" i="154"/>
  <c r="L35" i="154"/>
  <c r="F35" i="154"/>
  <c r="T34" i="154"/>
  <c r="S34" i="154"/>
  <c r="L34" i="154"/>
  <c r="V33" i="154"/>
  <c r="T33" i="154"/>
  <c r="S33" i="154"/>
  <c r="L33" i="154"/>
  <c r="T32" i="154"/>
  <c r="S32" i="154"/>
  <c r="O32" i="154"/>
  <c r="L32" i="154"/>
  <c r="F32" i="154"/>
  <c r="V31" i="154"/>
  <c r="T31" i="154"/>
  <c r="S31" i="154"/>
  <c r="O31" i="154"/>
  <c r="L31" i="154"/>
  <c r="F31" i="154"/>
  <c r="T30" i="154"/>
  <c r="S30" i="154"/>
  <c r="L30" i="154"/>
  <c r="V29" i="154"/>
  <c r="T29" i="154"/>
  <c r="S29" i="154"/>
  <c r="O29" i="154"/>
  <c r="L29" i="154"/>
  <c r="F29" i="154"/>
  <c r="T28" i="154"/>
  <c r="S28" i="154"/>
  <c r="L28" i="154"/>
  <c r="F28" i="154"/>
  <c r="E28" i="154"/>
  <c r="T27" i="154"/>
  <c r="S27" i="154"/>
  <c r="O27" i="154"/>
  <c r="L27" i="154"/>
  <c r="T26" i="154"/>
  <c r="S26" i="154"/>
  <c r="O26" i="154"/>
  <c r="L26" i="154"/>
  <c r="T25" i="154"/>
  <c r="S25" i="154"/>
  <c r="O25" i="154"/>
  <c r="L25" i="154"/>
  <c r="F25" i="154"/>
  <c r="V24" i="154"/>
  <c r="T24" i="154"/>
  <c r="S24" i="154"/>
  <c r="L24" i="154"/>
  <c r="E24" i="154"/>
  <c r="V23" i="154"/>
  <c r="T23" i="154"/>
  <c r="S23" i="154"/>
  <c r="L23" i="154"/>
  <c r="F23" i="154"/>
  <c r="V22" i="154"/>
  <c r="T22" i="154"/>
  <c r="S22" i="154"/>
  <c r="L22" i="154"/>
  <c r="F22" i="154"/>
  <c r="E22" i="154"/>
  <c r="T21" i="154"/>
  <c r="S21" i="154"/>
  <c r="O21" i="154"/>
  <c r="L21" i="154"/>
  <c r="V20" i="154"/>
  <c r="T20" i="154"/>
  <c r="S20" i="154"/>
  <c r="O20" i="154"/>
  <c r="L20" i="154"/>
  <c r="T19" i="154"/>
  <c r="S19" i="154"/>
  <c r="O19" i="154"/>
  <c r="L19" i="154"/>
  <c r="F19" i="154"/>
  <c r="V18" i="154"/>
  <c r="T18" i="154"/>
  <c r="S18" i="154"/>
  <c r="O18" i="154"/>
  <c r="M18" i="154"/>
  <c r="L18" i="154"/>
  <c r="E18" i="154"/>
  <c r="T17" i="154"/>
  <c r="S17" i="154"/>
  <c r="O17" i="154"/>
  <c r="L17" i="154"/>
  <c r="F17" i="154"/>
  <c r="B17" i="154"/>
  <c r="B18" i="154"/>
  <c r="B19" i="154" s="1"/>
  <c r="B20" i="154" s="1"/>
  <c r="B21" i="154" s="1"/>
  <c r="B22" i="154" s="1"/>
  <c r="B23" i="154" s="1"/>
  <c r="B24" i="154" s="1"/>
  <c r="B25" i="154" s="1"/>
  <c r="B26" i="154" s="1"/>
  <c r="B27" i="154" s="1"/>
  <c r="B28" i="154" s="1"/>
  <c r="B29" i="154" s="1"/>
  <c r="B30" i="154" s="1"/>
  <c r="B31" i="154" s="1"/>
  <c r="B32" i="154" s="1"/>
  <c r="B33" i="154" s="1"/>
  <c r="B34" i="154" s="1"/>
  <c r="B35" i="154" s="1"/>
  <c r="B36" i="154" s="1"/>
  <c r="B37" i="154" s="1"/>
  <c r="B38" i="154" s="1"/>
  <c r="B39" i="154" s="1"/>
  <c r="B40" i="154" s="1"/>
  <c r="B41" i="154" s="1"/>
  <c r="T16" i="154"/>
  <c r="S16" i="154"/>
  <c r="O16" i="154"/>
  <c r="M16" i="154"/>
  <c r="L16" i="154"/>
  <c r="T15" i="154"/>
  <c r="S15" i="154"/>
  <c r="L15" i="154"/>
  <c r="T14" i="154"/>
  <c r="S14" i="154"/>
  <c r="M14" i="154"/>
  <c r="L14" i="154"/>
  <c r="E14" i="154"/>
  <c r="B14" i="154"/>
  <c r="B15" i="154" s="1"/>
  <c r="T13" i="154"/>
  <c r="S13" i="154"/>
  <c r="L13" i="154"/>
  <c r="F13" i="154"/>
  <c r="M42" i="154"/>
  <c r="U44" i="152"/>
  <c r="N44" i="152"/>
  <c r="O44" i="152" s="1"/>
  <c r="U43" i="152"/>
  <c r="N43" i="152"/>
  <c r="D43" i="152"/>
  <c r="E43" i="152" s="1"/>
  <c r="C43" i="152"/>
  <c r="U42" i="152"/>
  <c r="N42" i="152"/>
  <c r="O42" i="152" s="1"/>
  <c r="D42" i="152"/>
  <c r="C42" i="152"/>
  <c r="N41" i="152"/>
  <c r="D41" i="152"/>
  <c r="H41" i="152" s="1"/>
  <c r="C41" i="152"/>
  <c r="G42" i="152"/>
  <c r="U40" i="152"/>
  <c r="N40" i="152"/>
  <c r="O40" i="152" s="1"/>
  <c r="D40" i="152"/>
  <c r="C40" i="152"/>
  <c r="G41" i="152" s="1"/>
  <c r="U39" i="152"/>
  <c r="N39" i="152"/>
  <c r="D39" i="152"/>
  <c r="E39" i="152" s="1"/>
  <c r="C39" i="152"/>
  <c r="U38" i="152"/>
  <c r="N38" i="152"/>
  <c r="D38" i="152"/>
  <c r="C38" i="152"/>
  <c r="U37" i="152"/>
  <c r="N37" i="152"/>
  <c r="D37" i="152"/>
  <c r="C37" i="152"/>
  <c r="U36" i="152"/>
  <c r="V36" i="152" s="1"/>
  <c r="N36" i="152"/>
  <c r="D36" i="152"/>
  <c r="C36" i="152"/>
  <c r="U35" i="152"/>
  <c r="N35" i="152"/>
  <c r="D35" i="152"/>
  <c r="E35" i="152" s="1"/>
  <c r="C35" i="152"/>
  <c r="F35" i="152"/>
  <c r="U34" i="152"/>
  <c r="V34" i="152"/>
  <c r="N34" i="152"/>
  <c r="D34" i="152"/>
  <c r="C34" i="152"/>
  <c r="G35" i="152"/>
  <c r="U33" i="152"/>
  <c r="N33" i="152"/>
  <c r="D33" i="152"/>
  <c r="C33" i="152"/>
  <c r="F33" i="152" s="1"/>
  <c r="U32" i="152"/>
  <c r="N32" i="152"/>
  <c r="D32" i="152"/>
  <c r="C32" i="152"/>
  <c r="U31" i="152"/>
  <c r="U30" i="152"/>
  <c r="N31" i="152"/>
  <c r="D31" i="152"/>
  <c r="C31" i="152"/>
  <c r="N30" i="152"/>
  <c r="O30" i="152"/>
  <c r="D30" i="152"/>
  <c r="C30" i="152"/>
  <c r="U29" i="152"/>
  <c r="N29" i="152"/>
  <c r="O29" i="152" s="1"/>
  <c r="D29" i="152"/>
  <c r="C29" i="152"/>
  <c r="E29" i="152" s="1"/>
  <c r="N28" i="152"/>
  <c r="O28" i="152" s="1"/>
  <c r="D28" i="152"/>
  <c r="H29" i="152" s="1"/>
  <c r="C28" i="152"/>
  <c r="G29" i="152"/>
  <c r="U27" i="152"/>
  <c r="N27" i="152"/>
  <c r="D27" i="152"/>
  <c r="E27" i="152" s="1"/>
  <c r="C27" i="152"/>
  <c r="U26" i="152"/>
  <c r="N26" i="152"/>
  <c r="O26" i="152" s="1"/>
  <c r="D26" i="152"/>
  <c r="C26" i="152"/>
  <c r="U25" i="152"/>
  <c r="V25" i="152"/>
  <c r="N25" i="152"/>
  <c r="D25" i="152"/>
  <c r="C25" i="152"/>
  <c r="G26" i="152"/>
  <c r="U24" i="152"/>
  <c r="N24" i="152"/>
  <c r="O24" i="152" s="1"/>
  <c r="D24" i="152"/>
  <c r="C24" i="152"/>
  <c r="N23" i="152"/>
  <c r="D23" i="152"/>
  <c r="C23" i="152"/>
  <c r="U22" i="152"/>
  <c r="V22" i="152" s="1"/>
  <c r="N22" i="152"/>
  <c r="O22" i="152"/>
  <c r="D22" i="152"/>
  <c r="C22" i="152"/>
  <c r="F22" i="152" s="1"/>
  <c r="N21" i="152"/>
  <c r="D21" i="152"/>
  <c r="C21" i="152"/>
  <c r="G21" i="152"/>
  <c r="U20" i="152"/>
  <c r="V20" i="152"/>
  <c r="N20" i="152"/>
  <c r="D20" i="152"/>
  <c r="C20" i="152"/>
  <c r="U19" i="152"/>
  <c r="V19" i="152"/>
  <c r="N19" i="152"/>
  <c r="D19" i="152"/>
  <c r="E19" i="152" s="1"/>
  <c r="C19" i="152"/>
  <c r="F19" i="152" s="1"/>
  <c r="N18" i="152"/>
  <c r="D18" i="152"/>
  <c r="C18" i="152"/>
  <c r="G18" i="152" s="1"/>
  <c r="N17" i="152"/>
  <c r="D17" i="152"/>
  <c r="C17" i="152"/>
  <c r="U16" i="152"/>
  <c r="N16" i="152"/>
  <c r="O16" i="152" s="1"/>
  <c r="D16" i="152"/>
  <c r="C16" i="152"/>
  <c r="D15" i="152"/>
  <c r="C15" i="152"/>
  <c r="G16" i="152"/>
  <c r="U43" i="150"/>
  <c r="V43" i="150"/>
  <c r="S43" i="150"/>
  <c r="N43" i="150"/>
  <c r="O43" i="150" s="1"/>
  <c r="M43" i="150"/>
  <c r="L43" i="150"/>
  <c r="F43" i="150"/>
  <c r="E43" i="150"/>
  <c r="L11" i="152"/>
  <c r="M44" i="152" s="1"/>
  <c r="V45" i="152"/>
  <c r="S45" i="152"/>
  <c r="O45" i="152"/>
  <c r="L45" i="152"/>
  <c r="F45" i="152"/>
  <c r="E45" i="152"/>
  <c r="V44" i="152"/>
  <c r="S44" i="152"/>
  <c r="L44" i="152"/>
  <c r="H45" i="152"/>
  <c r="V43" i="152"/>
  <c r="S43" i="152"/>
  <c r="O43" i="152"/>
  <c r="L43" i="152"/>
  <c r="F43" i="152"/>
  <c r="V42" i="152"/>
  <c r="S42" i="152"/>
  <c r="L42" i="152"/>
  <c r="F42" i="152"/>
  <c r="S41" i="152"/>
  <c r="O41" i="152"/>
  <c r="L41" i="152"/>
  <c r="F41" i="152"/>
  <c r="V40" i="152"/>
  <c r="S40" i="152"/>
  <c r="L40" i="152"/>
  <c r="F40" i="152"/>
  <c r="V39" i="152"/>
  <c r="S39" i="152"/>
  <c r="O39" i="152"/>
  <c r="L39" i="152"/>
  <c r="V38" i="152"/>
  <c r="S38" i="152"/>
  <c r="O38" i="152"/>
  <c r="L38" i="152"/>
  <c r="F38" i="152"/>
  <c r="S37" i="152"/>
  <c r="O37" i="152"/>
  <c r="M37" i="152"/>
  <c r="L37" i="152"/>
  <c r="E37" i="152"/>
  <c r="S36" i="152"/>
  <c r="O36" i="152"/>
  <c r="L36" i="152"/>
  <c r="F36" i="152"/>
  <c r="V35" i="152"/>
  <c r="S35" i="152"/>
  <c r="O35" i="152"/>
  <c r="L35" i="152"/>
  <c r="S34" i="152"/>
  <c r="O34" i="152"/>
  <c r="L34" i="152"/>
  <c r="F34" i="152"/>
  <c r="V33" i="152"/>
  <c r="S33" i="152"/>
  <c r="O33" i="152"/>
  <c r="L33" i="152"/>
  <c r="V32" i="152"/>
  <c r="S32" i="152"/>
  <c r="O32" i="152"/>
  <c r="M32" i="152"/>
  <c r="L32" i="152"/>
  <c r="V31" i="152"/>
  <c r="S31" i="152"/>
  <c r="O31" i="152"/>
  <c r="L31" i="152"/>
  <c r="F31" i="152"/>
  <c r="S30" i="152"/>
  <c r="L30" i="152"/>
  <c r="V29" i="152"/>
  <c r="S29" i="152"/>
  <c r="M29" i="152"/>
  <c r="L29" i="152"/>
  <c r="S28" i="152"/>
  <c r="L28" i="152"/>
  <c r="V27" i="152"/>
  <c r="S27" i="152"/>
  <c r="O27" i="152"/>
  <c r="L27" i="152"/>
  <c r="F27" i="152"/>
  <c r="V26" i="152"/>
  <c r="S26" i="152"/>
  <c r="M26" i="152"/>
  <c r="L26" i="152"/>
  <c r="F26" i="152"/>
  <c r="E26" i="152"/>
  <c r="S25" i="152"/>
  <c r="O25" i="152"/>
  <c r="M25" i="152"/>
  <c r="L25" i="152"/>
  <c r="F25" i="152"/>
  <c r="E25" i="152"/>
  <c r="V24" i="152"/>
  <c r="S24" i="152"/>
  <c r="M24" i="152"/>
  <c r="L24" i="152"/>
  <c r="F24" i="152"/>
  <c r="S23" i="152"/>
  <c r="O23" i="152"/>
  <c r="M23" i="152"/>
  <c r="L23" i="152"/>
  <c r="S22" i="152"/>
  <c r="M22" i="152"/>
  <c r="L22" i="152"/>
  <c r="S21" i="152"/>
  <c r="O21" i="152"/>
  <c r="M21" i="152"/>
  <c r="L21" i="152"/>
  <c r="E21" i="152"/>
  <c r="S20" i="152"/>
  <c r="O20" i="152"/>
  <c r="M20" i="152"/>
  <c r="L20" i="152"/>
  <c r="F20" i="152"/>
  <c r="S19" i="152"/>
  <c r="O19" i="152"/>
  <c r="M19" i="152"/>
  <c r="L19" i="152"/>
  <c r="B19" i="152"/>
  <c r="B20" i="152"/>
  <c r="B21" i="152" s="1"/>
  <c r="B22" i="152"/>
  <c r="B23" i="152" s="1"/>
  <c r="B24" i="152" s="1"/>
  <c r="B25" i="152" s="1"/>
  <c r="B26" i="152" s="1"/>
  <c r="B27" i="152" s="1"/>
  <c r="B28" i="152" s="1"/>
  <c r="B29" i="152" s="1"/>
  <c r="B30" i="152" s="1"/>
  <c r="B31" i="152" s="1"/>
  <c r="B32" i="152" s="1"/>
  <c r="B33" i="152" s="1"/>
  <c r="B34" i="152" s="1"/>
  <c r="B35" i="152" s="1"/>
  <c r="B36" i="152" s="1"/>
  <c r="B37" i="152" s="1"/>
  <c r="B38" i="152" s="1"/>
  <c r="B39" i="152" s="1"/>
  <c r="B40" i="152" s="1"/>
  <c r="B41" i="152" s="1"/>
  <c r="B42" i="152" s="1"/>
  <c r="B43" i="152" s="1"/>
  <c r="S18" i="152"/>
  <c r="O18" i="152"/>
  <c r="M18" i="152"/>
  <c r="L18" i="152"/>
  <c r="S17" i="152"/>
  <c r="O17" i="152"/>
  <c r="M17" i="152"/>
  <c r="L17" i="152"/>
  <c r="F17" i="152"/>
  <c r="V16" i="152"/>
  <c r="S16" i="152"/>
  <c r="M16" i="152"/>
  <c r="L16" i="152"/>
  <c r="F16" i="152"/>
  <c r="B16" i="152"/>
  <c r="B17" i="152" s="1"/>
  <c r="S15" i="152"/>
  <c r="M15" i="152"/>
  <c r="L15" i="152"/>
  <c r="T42" i="152"/>
  <c r="U42" i="150"/>
  <c r="V42" i="150" s="1"/>
  <c r="N42" i="150"/>
  <c r="O42" i="150" s="1"/>
  <c r="D42" i="150"/>
  <c r="E42" i="150" s="1"/>
  <c r="C42" i="150"/>
  <c r="U41" i="150"/>
  <c r="N41" i="150"/>
  <c r="O41" i="150" s="1"/>
  <c r="D41" i="150"/>
  <c r="E41" i="150" s="1"/>
  <c r="C41" i="150"/>
  <c r="U40" i="150"/>
  <c r="V40" i="150"/>
  <c r="N40" i="150"/>
  <c r="O40" i="150"/>
  <c r="D40" i="150"/>
  <c r="C40" i="150"/>
  <c r="U39" i="150"/>
  <c r="V39" i="150"/>
  <c r="N39" i="150"/>
  <c r="O39" i="150"/>
  <c r="D39" i="150"/>
  <c r="C39" i="150"/>
  <c r="G39" i="150" s="1"/>
  <c r="U38" i="150"/>
  <c r="V38" i="150"/>
  <c r="N38" i="150"/>
  <c r="D38" i="150"/>
  <c r="H39" i="150" s="1"/>
  <c r="C38" i="150"/>
  <c r="F38" i="150"/>
  <c r="U37" i="150"/>
  <c r="N37" i="150"/>
  <c r="D37" i="150"/>
  <c r="E37" i="150"/>
  <c r="C37" i="150"/>
  <c r="U36" i="150"/>
  <c r="V36" i="150" s="1"/>
  <c r="N36" i="150"/>
  <c r="O36" i="150" s="1"/>
  <c r="D36" i="150"/>
  <c r="C36" i="150"/>
  <c r="U35" i="150"/>
  <c r="N35" i="150"/>
  <c r="O35" i="150" s="1"/>
  <c r="D35" i="150"/>
  <c r="C35" i="150"/>
  <c r="F35" i="150"/>
  <c r="U34" i="150"/>
  <c r="N34" i="150"/>
  <c r="O34" i="150" s="1"/>
  <c r="D34" i="150"/>
  <c r="E34" i="150" s="1"/>
  <c r="C34" i="150"/>
  <c r="G34" i="150" s="1"/>
  <c r="U33" i="150"/>
  <c r="V33" i="150" s="1"/>
  <c r="N33" i="150"/>
  <c r="D33" i="150"/>
  <c r="E33" i="150"/>
  <c r="C33" i="150"/>
  <c r="F33" i="150"/>
  <c r="U32" i="150"/>
  <c r="V32" i="150"/>
  <c r="N32" i="150"/>
  <c r="O32" i="150"/>
  <c r="D32" i="150"/>
  <c r="E32" i="150"/>
  <c r="C32" i="150"/>
  <c r="U31" i="150"/>
  <c r="N31" i="150"/>
  <c r="O31" i="150"/>
  <c r="D31" i="150"/>
  <c r="E31" i="150"/>
  <c r="C31" i="150"/>
  <c r="F31" i="150"/>
  <c r="U30" i="150"/>
  <c r="V30" i="150"/>
  <c r="N30" i="150"/>
  <c r="O30" i="150"/>
  <c r="D30" i="150"/>
  <c r="C30" i="150"/>
  <c r="G31" i="150" s="1"/>
  <c r="H31" i="150" s="1"/>
  <c r="U29" i="150"/>
  <c r="N29" i="150"/>
  <c r="O29" i="150" s="1"/>
  <c r="D29" i="150"/>
  <c r="E29" i="150" s="1"/>
  <c r="C29" i="150"/>
  <c r="U28" i="150"/>
  <c r="N28" i="150"/>
  <c r="O28" i="150" s="1"/>
  <c r="D28" i="150"/>
  <c r="C28" i="150"/>
  <c r="D27" i="150"/>
  <c r="U27" i="150"/>
  <c r="V27" i="150" s="1"/>
  <c r="N27" i="150"/>
  <c r="O27" i="150" s="1"/>
  <c r="C27" i="150"/>
  <c r="F27" i="150" s="1"/>
  <c r="U26" i="150"/>
  <c r="N26" i="150"/>
  <c r="O26" i="150"/>
  <c r="D26" i="150"/>
  <c r="C26" i="150"/>
  <c r="U25" i="150"/>
  <c r="N25" i="150"/>
  <c r="D25" i="150"/>
  <c r="E25" i="150"/>
  <c r="C25" i="150"/>
  <c r="F25" i="150"/>
  <c r="N24" i="150"/>
  <c r="O24" i="150"/>
  <c r="D24" i="150"/>
  <c r="E24" i="150"/>
  <c r="C24" i="150"/>
  <c r="G25" i="150"/>
  <c r="U23" i="150"/>
  <c r="N23" i="150"/>
  <c r="O23" i="150" s="1"/>
  <c r="D23" i="150"/>
  <c r="E23" i="150"/>
  <c r="C23" i="150"/>
  <c r="F23" i="150"/>
  <c r="U22" i="150"/>
  <c r="N22" i="150"/>
  <c r="O22" i="150" s="1"/>
  <c r="D22" i="150"/>
  <c r="E22" i="150" s="1"/>
  <c r="C22" i="150"/>
  <c r="U21" i="150"/>
  <c r="N21" i="150"/>
  <c r="O21" i="150" s="1"/>
  <c r="D21" i="150"/>
  <c r="C21" i="150"/>
  <c r="G22" i="150"/>
  <c r="U20" i="150"/>
  <c r="V20" i="150" s="1"/>
  <c r="N20" i="150"/>
  <c r="O20" i="150" s="1"/>
  <c r="D20" i="150"/>
  <c r="E20" i="150" s="1"/>
  <c r="C20" i="150"/>
  <c r="F20" i="150" s="1"/>
  <c r="U19" i="150"/>
  <c r="V19" i="150" s="1"/>
  <c r="N19" i="150"/>
  <c r="D19" i="150"/>
  <c r="C19" i="150"/>
  <c r="F19" i="150" s="1"/>
  <c r="U18" i="150"/>
  <c r="N18" i="150"/>
  <c r="O18" i="150"/>
  <c r="D18" i="150"/>
  <c r="E18" i="150"/>
  <c r="C18" i="150"/>
  <c r="F18" i="150"/>
  <c r="U17" i="150"/>
  <c r="V17" i="150"/>
  <c r="N17" i="150"/>
  <c r="O17" i="150"/>
  <c r="D17" i="150"/>
  <c r="C17" i="150"/>
  <c r="U16" i="150"/>
  <c r="V16" i="150"/>
  <c r="N16" i="150"/>
  <c r="D16" i="150"/>
  <c r="E16" i="150" s="1"/>
  <c r="C16" i="150"/>
  <c r="F16" i="150"/>
  <c r="V13" i="150"/>
  <c r="U15" i="150"/>
  <c r="V15" i="150" s="1"/>
  <c r="N15" i="150"/>
  <c r="O15" i="150" s="1"/>
  <c r="D15" i="150"/>
  <c r="E15" i="150"/>
  <c r="C15" i="150"/>
  <c r="U14" i="150"/>
  <c r="V14" i="150" s="1"/>
  <c r="N14" i="150"/>
  <c r="O14" i="150"/>
  <c r="D14" i="150"/>
  <c r="C14" i="150"/>
  <c r="G14" i="150"/>
  <c r="H14" i="150" s="1"/>
  <c r="D13" i="150"/>
  <c r="E13" i="150"/>
  <c r="C13" i="150"/>
  <c r="S9" i="150"/>
  <c r="T38" i="150" s="1"/>
  <c r="O37" i="150"/>
  <c r="V35" i="150"/>
  <c r="V26" i="150"/>
  <c r="H13" i="150"/>
  <c r="O13" i="150"/>
  <c r="S42" i="150"/>
  <c r="M42" i="150"/>
  <c r="L42" i="150"/>
  <c r="V41" i="150"/>
  <c r="S41" i="150"/>
  <c r="M41" i="150"/>
  <c r="L41" i="150"/>
  <c r="F41" i="150"/>
  <c r="S40" i="150"/>
  <c r="M40" i="150"/>
  <c r="L40" i="150"/>
  <c r="F40" i="150"/>
  <c r="S39" i="150"/>
  <c r="M39" i="150"/>
  <c r="L39" i="150"/>
  <c r="S38" i="150"/>
  <c r="O38" i="150"/>
  <c r="M38" i="150"/>
  <c r="L38" i="150"/>
  <c r="V37" i="150"/>
  <c r="S37" i="150"/>
  <c r="M37" i="150"/>
  <c r="L37" i="150"/>
  <c r="F37" i="150"/>
  <c r="S36" i="150"/>
  <c r="M36" i="150"/>
  <c r="L36" i="150"/>
  <c r="F36" i="150"/>
  <c r="S35" i="150"/>
  <c r="M35" i="150"/>
  <c r="L35" i="150"/>
  <c r="V34" i="150"/>
  <c r="S34" i="150"/>
  <c r="M34" i="150"/>
  <c r="L34" i="150"/>
  <c r="F34" i="150"/>
  <c r="S33" i="150"/>
  <c r="O33" i="150"/>
  <c r="M33" i="150"/>
  <c r="L33" i="150"/>
  <c r="S32" i="150"/>
  <c r="M32" i="150"/>
  <c r="L32" i="150"/>
  <c r="F32" i="150"/>
  <c r="V31" i="150"/>
  <c r="S31" i="150"/>
  <c r="M31" i="150"/>
  <c r="L31" i="150"/>
  <c r="S30" i="150"/>
  <c r="M30" i="150"/>
  <c r="L30" i="150"/>
  <c r="V29" i="150"/>
  <c r="S29" i="150"/>
  <c r="M29" i="150"/>
  <c r="L29" i="150"/>
  <c r="V28" i="150"/>
  <c r="S28" i="150"/>
  <c r="M28" i="150"/>
  <c r="L28" i="150"/>
  <c r="F28" i="150"/>
  <c r="S27" i="150"/>
  <c r="M27" i="150"/>
  <c r="L27" i="150"/>
  <c r="E27" i="150"/>
  <c r="S26" i="150"/>
  <c r="M26" i="150"/>
  <c r="L26" i="150"/>
  <c r="V25" i="150"/>
  <c r="S25" i="150"/>
  <c r="O25" i="150"/>
  <c r="M25" i="150"/>
  <c r="L25" i="150"/>
  <c r="V24" i="150"/>
  <c r="S24" i="150"/>
  <c r="M24" i="150"/>
  <c r="L24" i="150"/>
  <c r="F24" i="150"/>
  <c r="S23" i="150"/>
  <c r="M23" i="150"/>
  <c r="L23" i="150"/>
  <c r="V22" i="150"/>
  <c r="S22" i="150"/>
  <c r="M22" i="150"/>
  <c r="L22" i="150"/>
  <c r="F22" i="150"/>
  <c r="V21" i="150"/>
  <c r="S21" i="150"/>
  <c r="M21" i="150"/>
  <c r="L21" i="150"/>
  <c r="F21" i="150"/>
  <c r="S20" i="150"/>
  <c r="M20" i="150"/>
  <c r="L20" i="150"/>
  <c r="S19" i="150"/>
  <c r="O19" i="150"/>
  <c r="M19" i="150"/>
  <c r="L19" i="150"/>
  <c r="V18" i="150"/>
  <c r="S18" i="150"/>
  <c r="M18" i="150"/>
  <c r="L18" i="150"/>
  <c r="T17" i="150"/>
  <c r="S17" i="150"/>
  <c r="M17" i="150"/>
  <c r="L17" i="150"/>
  <c r="B17" i="150"/>
  <c r="B18" i="150" s="1"/>
  <c r="B19" i="150" s="1"/>
  <c r="B20" i="150" s="1"/>
  <c r="B21" i="150" s="1"/>
  <c r="B22" i="150" s="1"/>
  <c r="B23" i="150" s="1"/>
  <c r="B24" i="150" s="1"/>
  <c r="B25" i="150" s="1"/>
  <c r="B26" i="150" s="1"/>
  <c r="B27" i="150" s="1"/>
  <c r="B28" i="150" s="1"/>
  <c r="B29" i="150" s="1"/>
  <c r="B30" i="150" s="1"/>
  <c r="B31" i="150" s="1"/>
  <c r="B32" i="150" s="1"/>
  <c r="B33" i="150" s="1"/>
  <c r="B34" i="150" s="1"/>
  <c r="B35" i="150" s="1"/>
  <c r="B36" i="150" s="1"/>
  <c r="B37" i="150" s="1"/>
  <c r="B38" i="150" s="1"/>
  <c r="B39" i="150" s="1"/>
  <c r="B40" i="150" s="1"/>
  <c r="B41" i="150" s="1"/>
  <c r="S16" i="150"/>
  <c r="O16" i="150"/>
  <c r="M16" i="150"/>
  <c r="L16" i="150"/>
  <c r="S15" i="150"/>
  <c r="M15" i="150"/>
  <c r="L15" i="150"/>
  <c r="F15" i="150"/>
  <c r="S14" i="150"/>
  <c r="M14" i="150"/>
  <c r="L14" i="150"/>
  <c r="B14" i="150"/>
  <c r="B15" i="150"/>
  <c r="S13" i="150"/>
  <c r="M13" i="150"/>
  <c r="L13" i="150"/>
  <c r="F13" i="150"/>
  <c r="U43" i="148"/>
  <c r="V43" i="148" s="1"/>
  <c r="U42" i="148"/>
  <c r="D42" i="148"/>
  <c r="E42" i="148" s="1"/>
  <c r="C42" i="148"/>
  <c r="G42" i="148" s="1"/>
  <c r="H42" i="148" s="1"/>
  <c r="U41" i="148"/>
  <c r="V41" i="148" s="1"/>
  <c r="N41" i="148"/>
  <c r="D41" i="148"/>
  <c r="E41" i="148" s="1"/>
  <c r="C41" i="148"/>
  <c r="F41" i="148" s="1"/>
  <c r="U40" i="148"/>
  <c r="N40" i="148"/>
  <c r="O40" i="148"/>
  <c r="D40" i="148"/>
  <c r="E40" i="148"/>
  <c r="C40" i="148"/>
  <c r="U39" i="148"/>
  <c r="V39" i="148"/>
  <c r="N39" i="148"/>
  <c r="D39" i="148"/>
  <c r="H40" i="148" s="1"/>
  <c r="C39" i="148"/>
  <c r="G40" i="148" s="1"/>
  <c r="U38" i="148"/>
  <c r="N38" i="148"/>
  <c r="D38" i="148"/>
  <c r="C38" i="148"/>
  <c r="F38" i="148"/>
  <c r="U37" i="148"/>
  <c r="N37" i="148"/>
  <c r="O37" i="148" s="1"/>
  <c r="D37" i="148"/>
  <c r="E37" i="148" s="1"/>
  <c r="C37" i="148"/>
  <c r="F37" i="148" s="1"/>
  <c r="U36" i="148"/>
  <c r="N36" i="148"/>
  <c r="O36" i="148"/>
  <c r="D36" i="148"/>
  <c r="E36" i="148"/>
  <c r="C36" i="148"/>
  <c r="G36" i="148"/>
  <c r="U35" i="148"/>
  <c r="V35" i="148"/>
  <c r="N35" i="148"/>
  <c r="D35" i="148"/>
  <c r="E35" i="148" s="1"/>
  <c r="C35" i="148"/>
  <c r="F35" i="148" s="1"/>
  <c r="U34" i="148"/>
  <c r="V34" i="148" s="1"/>
  <c r="N34" i="148"/>
  <c r="D34" i="148"/>
  <c r="C34" i="148"/>
  <c r="E34" i="148" s="1"/>
  <c r="U33" i="148"/>
  <c r="V33" i="148" s="1"/>
  <c r="U32" i="148"/>
  <c r="N32" i="148"/>
  <c r="O32" i="148" s="1"/>
  <c r="N33" i="148"/>
  <c r="O33" i="148"/>
  <c r="F32" i="148"/>
  <c r="D33" i="148"/>
  <c r="C33" i="148"/>
  <c r="F33" i="148"/>
  <c r="U31" i="148"/>
  <c r="N31" i="148"/>
  <c r="O31" i="148" s="1"/>
  <c r="D31" i="148"/>
  <c r="E31" i="148" s="1"/>
  <c r="C31" i="148"/>
  <c r="G32" i="148" s="1"/>
  <c r="H32" i="148" s="1"/>
  <c r="U30" i="148"/>
  <c r="N30" i="148"/>
  <c r="O30" i="148" s="1"/>
  <c r="D30" i="148"/>
  <c r="H30" i="148" s="1"/>
  <c r="C30" i="148"/>
  <c r="G30" i="148"/>
  <c r="U29" i="148"/>
  <c r="V29" i="148" s="1"/>
  <c r="N29" i="148"/>
  <c r="C29" i="148"/>
  <c r="F29" i="148"/>
  <c r="D29" i="148"/>
  <c r="U28" i="148"/>
  <c r="V28" i="148" s="1"/>
  <c r="N28" i="148"/>
  <c r="O28" i="148" s="1"/>
  <c r="D28" i="148"/>
  <c r="C28" i="148"/>
  <c r="F28" i="148"/>
  <c r="U27" i="148"/>
  <c r="V27" i="148"/>
  <c r="N27" i="148"/>
  <c r="D27" i="148"/>
  <c r="C27" i="148"/>
  <c r="F27" i="148"/>
  <c r="U26" i="148"/>
  <c r="N26" i="148"/>
  <c r="D26" i="148"/>
  <c r="C26" i="148"/>
  <c r="F26" i="148" s="1"/>
  <c r="U25" i="148"/>
  <c r="N25" i="148"/>
  <c r="D25" i="148"/>
  <c r="H26" i="148" s="1"/>
  <c r="C25" i="148"/>
  <c r="G26" i="148"/>
  <c r="U24" i="148"/>
  <c r="V24" i="148" s="1"/>
  <c r="N24" i="148"/>
  <c r="O24" i="148"/>
  <c r="D24" i="148"/>
  <c r="E24" i="148" s="1"/>
  <c r="C24" i="148"/>
  <c r="G25" i="148"/>
  <c r="F24" i="148"/>
  <c r="U23" i="148"/>
  <c r="N23" i="148"/>
  <c r="D23" i="148"/>
  <c r="C23" i="148"/>
  <c r="G23" i="148" s="1"/>
  <c r="H23" i="148" s="1"/>
  <c r="F23" i="148"/>
  <c r="U22" i="148"/>
  <c r="U21" i="148"/>
  <c r="V21" i="148" s="1"/>
  <c r="N22" i="148"/>
  <c r="D22" i="148"/>
  <c r="C22" i="148"/>
  <c r="N21" i="148"/>
  <c r="D21" i="148"/>
  <c r="C21" i="148"/>
  <c r="G22" i="148" s="1"/>
  <c r="H22" i="148" s="1"/>
  <c r="U20" i="148"/>
  <c r="N20" i="148"/>
  <c r="O20" i="148"/>
  <c r="D20" i="148"/>
  <c r="C20" i="148"/>
  <c r="F20" i="148" s="1"/>
  <c r="U19" i="148"/>
  <c r="V19" i="148"/>
  <c r="N19" i="148"/>
  <c r="D19" i="148"/>
  <c r="C19" i="148"/>
  <c r="F19" i="148" s="1"/>
  <c r="U18" i="148"/>
  <c r="N18" i="148"/>
  <c r="O18" i="148" s="1"/>
  <c r="N17" i="148"/>
  <c r="O17" i="148" s="1"/>
  <c r="N16" i="148"/>
  <c r="N15" i="148"/>
  <c r="O15" i="148"/>
  <c r="N14" i="148"/>
  <c r="D18" i="148"/>
  <c r="E18" i="148" s="1"/>
  <c r="C18" i="148"/>
  <c r="U17" i="148"/>
  <c r="D17" i="148"/>
  <c r="H17" i="148" s="1"/>
  <c r="C17" i="148"/>
  <c r="G17" i="148"/>
  <c r="U16" i="148"/>
  <c r="V16" i="148"/>
  <c r="D16" i="148"/>
  <c r="C16" i="148"/>
  <c r="U15" i="148"/>
  <c r="V15" i="148" s="1"/>
  <c r="D15" i="148"/>
  <c r="E15" i="148" s="1"/>
  <c r="C15" i="148"/>
  <c r="G16" i="148" s="1"/>
  <c r="H16" i="148" s="1"/>
  <c r="U14" i="148"/>
  <c r="V14" i="148" s="1"/>
  <c r="D14" i="148"/>
  <c r="E14" i="148"/>
  <c r="C14" i="148"/>
  <c r="G15" i="148"/>
  <c r="H15" i="148" s="1"/>
  <c r="D13" i="148"/>
  <c r="C13" i="148"/>
  <c r="E13" i="148"/>
  <c r="N13" i="148"/>
  <c r="T43" i="148"/>
  <c r="S43" i="148"/>
  <c r="F43" i="148"/>
  <c r="E43" i="148"/>
  <c r="V42" i="148"/>
  <c r="T42" i="148"/>
  <c r="S42" i="148"/>
  <c r="T41" i="148"/>
  <c r="S41" i="148"/>
  <c r="O41" i="148"/>
  <c r="M41" i="148"/>
  <c r="L41" i="148"/>
  <c r="V40" i="148"/>
  <c r="T40" i="148"/>
  <c r="S40" i="148"/>
  <c r="M40" i="148"/>
  <c r="L40" i="148"/>
  <c r="F40" i="148"/>
  <c r="T39" i="148"/>
  <c r="S39" i="148"/>
  <c r="O39" i="148"/>
  <c r="M39" i="148"/>
  <c r="L39" i="148"/>
  <c r="V38" i="148"/>
  <c r="T38" i="148"/>
  <c r="S38" i="148"/>
  <c r="O38" i="148"/>
  <c r="M38" i="148"/>
  <c r="L38" i="148"/>
  <c r="V37" i="148"/>
  <c r="T37" i="148"/>
  <c r="S37" i="148"/>
  <c r="M37" i="148"/>
  <c r="L37" i="148"/>
  <c r="V36" i="148"/>
  <c r="T36" i="148"/>
  <c r="S36" i="148"/>
  <c r="M36" i="148"/>
  <c r="L36" i="148"/>
  <c r="F36" i="148"/>
  <c r="T35" i="148"/>
  <c r="S35" i="148"/>
  <c r="O35" i="148"/>
  <c r="M35" i="148"/>
  <c r="L35" i="148"/>
  <c r="T34" i="148"/>
  <c r="S34" i="148"/>
  <c r="O34" i="148"/>
  <c r="M34" i="148"/>
  <c r="L34" i="148"/>
  <c r="T33" i="148"/>
  <c r="S33" i="148"/>
  <c r="M33" i="148"/>
  <c r="L33" i="148"/>
  <c r="V32" i="148"/>
  <c r="T32" i="148"/>
  <c r="S32" i="148"/>
  <c r="M32" i="148"/>
  <c r="L32" i="148"/>
  <c r="V31" i="148"/>
  <c r="T31" i="148"/>
  <c r="S31" i="148"/>
  <c r="M31" i="148"/>
  <c r="L31" i="148"/>
  <c r="V30" i="148"/>
  <c r="T30" i="148"/>
  <c r="S30" i="148"/>
  <c r="M30" i="148"/>
  <c r="L30" i="148"/>
  <c r="F30" i="148"/>
  <c r="T29" i="148"/>
  <c r="S29" i="148"/>
  <c r="O29" i="148"/>
  <c r="M29" i="148"/>
  <c r="L29" i="148"/>
  <c r="E29" i="148"/>
  <c r="T28" i="148"/>
  <c r="S28" i="148"/>
  <c r="M28" i="148"/>
  <c r="L28" i="148"/>
  <c r="T27" i="148"/>
  <c r="S27" i="148"/>
  <c r="O27" i="148"/>
  <c r="M27" i="148"/>
  <c r="L27" i="148"/>
  <c r="V26" i="148"/>
  <c r="T26" i="148"/>
  <c r="S26" i="148"/>
  <c r="O26" i="148"/>
  <c r="M26" i="148"/>
  <c r="L26" i="148"/>
  <c r="V25" i="148"/>
  <c r="T25" i="148"/>
  <c r="S25" i="148"/>
  <c r="O25" i="148"/>
  <c r="M25" i="148"/>
  <c r="L25" i="148"/>
  <c r="T24" i="148"/>
  <c r="S24" i="148"/>
  <c r="M24" i="148"/>
  <c r="L24" i="148"/>
  <c r="T23" i="148"/>
  <c r="S23" i="148"/>
  <c r="O23" i="148"/>
  <c r="M23" i="148"/>
  <c r="L23" i="148"/>
  <c r="V22" i="148"/>
  <c r="T22" i="148"/>
  <c r="S22" i="148"/>
  <c r="O22" i="148"/>
  <c r="M22" i="148"/>
  <c r="L22" i="148"/>
  <c r="F22" i="148"/>
  <c r="T21" i="148"/>
  <c r="S21" i="148"/>
  <c r="O21" i="148"/>
  <c r="M21" i="148"/>
  <c r="L21" i="148"/>
  <c r="V20" i="148"/>
  <c r="T20" i="148"/>
  <c r="S20" i="148"/>
  <c r="M20" i="148"/>
  <c r="L20" i="148"/>
  <c r="T19" i="148"/>
  <c r="S19" i="148"/>
  <c r="O19" i="148"/>
  <c r="M19" i="148"/>
  <c r="L19" i="148"/>
  <c r="V18" i="148"/>
  <c r="T18" i="148"/>
  <c r="S18" i="148"/>
  <c r="M18" i="148"/>
  <c r="L18" i="148"/>
  <c r="V17" i="148"/>
  <c r="T17" i="148"/>
  <c r="S17" i="148"/>
  <c r="M17" i="148"/>
  <c r="L17" i="148"/>
  <c r="F17" i="148"/>
  <c r="B17" i="148"/>
  <c r="B18" i="148"/>
  <c r="B19" i="148" s="1"/>
  <c r="B20" i="148"/>
  <c r="B21" i="148" s="1"/>
  <c r="B22" i="148" s="1"/>
  <c r="B23" i="148" s="1"/>
  <c r="B24" i="148" s="1"/>
  <c r="B25" i="148" s="1"/>
  <c r="B26" i="148" s="1"/>
  <c r="B27" i="148" s="1"/>
  <c r="B28" i="148" s="1"/>
  <c r="B29" i="148" s="1"/>
  <c r="B30" i="148" s="1"/>
  <c r="B31" i="148" s="1"/>
  <c r="B32" i="148" s="1"/>
  <c r="B33" i="148" s="1"/>
  <c r="B34" i="148" s="1"/>
  <c r="B35" i="148" s="1"/>
  <c r="B36" i="148" s="1"/>
  <c r="B37" i="148" s="1"/>
  <c r="B38" i="148" s="1"/>
  <c r="B39" i="148" s="1"/>
  <c r="B40" i="148" s="1"/>
  <c r="B41" i="148" s="1"/>
  <c r="T16" i="148"/>
  <c r="S16" i="148"/>
  <c r="O16" i="148"/>
  <c r="M16" i="148"/>
  <c r="L16" i="148"/>
  <c r="T15" i="148"/>
  <c r="S15" i="148"/>
  <c r="M15" i="148"/>
  <c r="L15" i="148"/>
  <c r="F15" i="148"/>
  <c r="T14" i="148"/>
  <c r="S14" i="148"/>
  <c r="O14" i="148"/>
  <c r="M14" i="148"/>
  <c r="L14" i="148"/>
  <c r="F14" i="148"/>
  <c r="B14" i="148"/>
  <c r="B15" i="148" s="1"/>
  <c r="U13" i="148"/>
  <c r="V13" i="148" s="1"/>
  <c r="T13" i="148"/>
  <c r="S13" i="148"/>
  <c r="O13" i="148"/>
  <c r="M13" i="148"/>
  <c r="L13" i="148"/>
  <c r="F13" i="148"/>
  <c r="E16" i="148"/>
  <c r="E22" i="148"/>
  <c r="E30" i="148"/>
  <c r="E32" i="148"/>
  <c r="G14" i="148"/>
  <c r="E25" i="148"/>
  <c r="E28" i="150"/>
  <c r="E36" i="150"/>
  <c r="E38" i="150"/>
  <c r="E40" i="150"/>
  <c r="G41" i="148"/>
  <c r="H41" i="148"/>
  <c r="F16" i="148"/>
  <c r="F18" i="148"/>
  <c r="F25" i="148"/>
  <c r="M30" i="152"/>
  <c r="M31" i="152"/>
  <c r="M34" i="152"/>
  <c r="M35" i="152"/>
  <c r="M38" i="152"/>
  <c r="M39" i="152"/>
  <c r="M42" i="152"/>
  <c r="M43" i="152"/>
  <c r="T15" i="152"/>
  <c r="T16" i="152"/>
  <c r="E17" i="152"/>
  <c r="E18" i="152"/>
  <c r="T19" i="152"/>
  <c r="E20" i="152"/>
  <c r="T21" i="152"/>
  <c r="E22" i="152"/>
  <c r="T23" i="152"/>
  <c r="E24" i="152"/>
  <c r="T25" i="152"/>
  <c r="H26" i="152"/>
  <c r="T26" i="152"/>
  <c r="T27" i="152"/>
  <c r="E28" i="152"/>
  <c r="T29" i="152"/>
  <c r="E30" i="152"/>
  <c r="T31" i="152"/>
  <c r="E32" i="152"/>
  <c r="T33" i="152"/>
  <c r="E34" i="152"/>
  <c r="H35" i="152"/>
  <c r="T35" i="152"/>
  <c r="E36" i="152"/>
  <c r="T37" i="152"/>
  <c r="E38" i="152"/>
  <c r="T39" i="152"/>
  <c r="E40" i="152"/>
  <c r="T41" i="152"/>
  <c r="E42" i="152"/>
  <c r="T43" i="152"/>
  <c r="F44" i="152"/>
  <c r="T44" i="152"/>
  <c r="T45" i="152"/>
  <c r="E15" i="152"/>
  <c r="T17" i="152"/>
  <c r="T18" i="152"/>
  <c r="T20" i="152"/>
  <c r="T22" i="152"/>
  <c r="T24" i="152"/>
  <c r="T28" i="152"/>
  <c r="T30" i="152"/>
  <c r="T32" i="152"/>
  <c r="T34" i="152"/>
  <c r="T36" i="152"/>
  <c r="T38" i="152"/>
  <c r="T40" i="152"/>
  <c r="E44" i="152"/>
  <c r="F30" i="154"/>
  <c r="F33" i="154"/>
  <c r="F34" i="154"/>
  <c r="F36" i="154"/>
  <c r="F37" i="154"/>
  <c r="E13" i="154"/>
  <c r="E15" i="154"/>
  <c r="H15" i="154"/>
  <c r="E16" i="154"/>
  <c r="E17" i="154"/>
  <c r="H17" i="154"/>
  <c r="E19" i="154"/>
  <c r="M20" i="154"/>
  <c r="E21" i="154"/>
  <c r="M22" i="154"/>
  <c r="E23" i="154"/>
  <c r="M24" i="154"/>
  <c r="E25" i="154"/>
  <c r="M26" i="154"/>
  <c r="E27" i="154"/>
  <c r="M28" i="154"/>
  <c r="M29" i="154"/>
  <c r="E30" i="154"/>
  <c r="M31" i="154"/>
  <c r="E32" i="154"/>
  <c r="M33" i="154"/>
  <c r="E34" i="154"/>
  <c r="H34" i="154"/>
  <c r="M35" i="154"/>
  <c r="M36" i="154"/>
  <c r="E37" i="154"/>
  <c r="M38" i="154"/>
  <c r="E39" i="154"/>
  <c r="H40" i="154"/>
  <c r="M40" i="154"/>
  <c r="E41" i="154"/>
  <c r="M43" i="154"/>
  <c r="M13" i="154"/>
  <c r="M15" i="154"/>
  <c r="M17" i="154"/>
  <c r="M19" i="154"/>
  <c r="M21" i="154"/>
  <c r="M23" i="154"/>
  <c r="M25" i="154"/>
  <c r="M27" i="154"/>
  <c r="M30" i="154"/>
  <c r="M32" i="154"/>
  <c r="M34" i="154"/>
  <c r="M37" i="154"/>
  <c r="M39" i="154"/>
  <c r="H41" i="154"/>
  <c r="M41" i="154"/>
  <c r="F13" i="155"/>
  <c r="E14" i="155"/>
  <c r="E15" i="155"/>
  <c r="F16" i="155"/>
  <c r="E17" i="155"/>
  <c r="F18" i="155"/>
  <c r="E19" i="155"/>
  <c r="F20" i="155"/>
  <c r="E21" i="155"/>
  <c r="E22" i="155"/>
  <c r="F23" i="155"/>
  <c r="E24" i="155"/>
  <c r="F25" i="155"/>
  <c r="E26" i="155"/>
  <c r="F27" i="155"/>
  <c r="E28" i="155"/>
  <c r="F29" i="155"/>
  <c r="E30" i="155"/>
  <c r="F31" i="155"/>
  <c r="E32" i="155"/>
  <c r="F33" i="155"/>
  <c r="E34" i="155"/>
  <c r="F35" i="155"/>
  <c r="E36" i="155"/>
  <c r="F37" i="155"/>
  <c r="E38" i="155"/>
  <c r="F39" i="155"/>
  <c r="E40" i="155"/>
  <c r="F41" i="155"/>
  <c r="F42" i="155"/>
  <c r="H43" i="155"/>
  <c r="G16" i="155"/>
  <c r="H16" i="155" s="1"/>
  <c r="H14" i="156"/>
  <c r="F14" i="156"/>
  <c r="E15" i="156"/>
  <c r="E16" i="156"/>
  <c r="E17" i="156"/>
  <c r="F18" i="156"/>
  <c r="E19" i="156"/>
  <c r="F20" i="156"/>
  <c r="H20" i="156"/>
  <c r="E21" i="156"/>
  <c r="H21" i="156"/>
  <c r="E23" i="156"/>
  <c r="H23" i="156"/>
  <c r="E24" i="156"/>
  <c r="H24" i="156"/>
  <c r="E26" i="156"/>
  <c r="H27" i="156"/>
  <c r="H28" i="156"/>
  <c r="E30" i="156"/>
  <c r="E32" i="156"/>
  <c r="E34" i="156"/>
  <c r="E36" i="156"/>
  <c r="E37" i="156"/>
  <c r="E39" i="156"/>
  <c r="H39" i="156"/>
  <c r="E41" i="156"/>
  <c r="E13" i="156"/>
  <c r="E14" i="156"/>
  <c r="E18" i="156"/>
  <c r="F13" i="156"/>
  <c r="H16" i="156"/>
  <c r="F15" i="156"/>
  <c r="E28" i="156"/>
  <c r="F28" i="156"/>
  <c r="E23" i="148"/>
  <c r="H15" i="155"/>
  <c r="G42" i="150"/>
  <c r="H42" i="150"/>
  <c r="G44" i="152"/>
  <c r="H44" i="152"/>
  <c r="F26" i="154"/>
  <c r="G42" i="154"/>
  <c r="H42" i="154" s="1"/>
  <c r="G14" i="155"/>
  <c r="H14" i="155" s="1"/>
  <c r="G17" i="155"/>
  <c r="H17" i="155" s="1"/>
  <c r="G19" i="155"/>
  <c r="H19" i="155"/>
  <c r="H20" i="155"/>
  <c r="G21" i="155"/>
  <c r="H21" i="155" s="1"/>
  <c r="G25" i="155"/>
  <c r="H25" i="155" s="1"/>
  <c r="G29" i="155"/>
  <c r="H29" i="155" s="1"/>
  <c r="G33" i="155"/>
  <c r="H33" i="155" s="1"/>
  <c r="F13" i="157"/>
  <c r="E15" i="157"/>
  <c r="E17" i="157"/>
  <c r="E18" i="157"/>
  <c r="E20" i="157"/>
  <c r="E22" i="157"/>
  <c r="E24" i="157"/>
  <c r="E26" i="157"/>
  <c r="H26" i="157"/>
  <c r="E28" i="157"/>
  <c r="H28" i="157"/>
  <c r="E30" i="157"/>
  <c r="E32" i="157"/>
  <c r="E34" i="157"/>
  <c r="H34" i="157"/>
  <c r="E36" i="157"/>
  <c r="E38" i="157"/>
  <c r="H38" i="157"/>
  <c r="E40" i="157"/>
  <c r="H43" i="157"/>
  <c r="E13" i="157"/>
  <c r="E14" i="158"/>
  <c r="H14" i="158"/>
  <c r="H16" i="158"/>
  <c r="E17" i="158"/>
  <c r="H17" i="158"/>
  <c r="E18" i="158"/>
  <c r="H19" i="158"/>
  <c r="E20" i="158"/>
  <c r="H20" i="158"/>
  <c r="E22" i="158"/>
  <c r="H23" i="158"/>
  <c r="E24" i="158"/>
  <c r="H24" i="158"/>
  <c r="E26" i="158"/>
  <c r="H26" i="158"/>
  <c r="E28" i="158"/>
  <c r="H29" i="158"/>
  <c r="E30" i="158"/>
  <c r="H31" i="158"/>
  <c r="E32" i="158"/>
  <c r="H33" i="158"/>
  <c r="E34" i="158"/>
  <c r="H35" i="158"/>
  <c r="E36" i="158"/>
  <c r="E38" i="158"/>
  <c r="H39" i="158"/>
  <c r="E40" i="158"/>
  <c r="H43" i="158"/>
  <c r="H42" i="158"/>
  <c r="H37" i="158"/>
  <c r="E14" i="159"/>
  <c r="H14" i="159"/>
  <c r="H15" i="159"/>
  <c r="E17" i="159"/>
  <c r="H17" i="159"/>
  <c r="H18" i="159"/>
  <c r="E19" i="159"/>
  <c r="H20" i="159"/>
  <c r="E21" i="159"/>
  <c r="H21" i="159"/>
  <c r="H22" i="159"/>
  <c r="E23" i="159"/>
  <c r="H24" i="159"/>
  <c r="E25" i="159"/>
  <c r="H26" i="159"/>
  <c r="E27" i="159"/>
  <c r="H28" i="159"/>
  <c r="E29" i="159"/>
  <c r="H30" i="159"/>
  <c r="E31" i="159"/>
  <c r="H31" i="159"/>
  <c r="E33" i="159"/>
  <c r="H33" i="159"/>
  <c r="E35" i="159"/>
  <c r="H35" i="159"/>
  <c r="E37" i="159"/>
  <c r="H37" i="159"/>
  <c r="E39" i="159"/>
  <c r="H39" i="159"/>
  <c r="E41" i="159"/>
  <c r="H41" i="159"/>
  <c r="G18" i="148"/>
  <c r="G16" i="150"/>
  <c r="H16" i="150" s="1"/>
  <c r="G18" i="150"/>
  <c r="H18" i="150" s="1"/>
  <c r="G20" i="150"/>
  <c r="G24" i="150"/>
  <c r="G33" i="150"/>
  <c r="G37" i="150"/>
  <c r="G41" i="150"/>
  <c r="G19" i="152"/>
  <c r="H19" i="152"/>
  <c r="G23" i="152"/>
  <c r="H23" i="152"/>
  <c r="G27" i="152"/>
  <c r="H27" i="152"/>
  <c r="G33" i="152"/>
  <c r="H33" i="152"/>
  <c r="G36" i="152"/>
  <c r="H36" i="152"/>
  <c r="G38" i="152"/>
  <c r="H38" i="152"/>
  <c r="G40" i="152"/>
  <c r="H40" i="152"/>
  <c r="G43" i="152"/>
  <c r="H43" i="152"/>
  <c r="G24" i="148"/>
  <c r="M27" i="152"/>
  <c r="M28" i="152"/>
  <c r="M33" i="152"/>
  <c r="M36" i="152"/>
  <c r="M41" i="152"/>
  <c r="M45" i="152"/>
  <c r="H38" i="155"/>
  <c r="H40" i="155"/>
  <c r="F41" i="154"/>
  <c r="F43" i="154"/>
  <c r="G16" i="154"/>
  <c r="H16" i="154"/>
  <c r="G18" i="154"/>
  <c r="H18" i="154"/>
  <c r="G21" i="154"/>
  <c r="H21" i="154"/>
  <c r="G23" i="154"/>
  <c r="H23" i="154"/>
  <c r="G25" i="154"/>
  <c r="H25" i="154"/>
  <c r="G30" i="154"/>
  <c r="H30" i="154"/>
  <c r="G33" i="154"/>
  <c r="H33" i="154"/>
  <c r="G36" i="154"/>
  <c r="H36" i="154"/>
  <c r="G38" i="154"/>
  <c r="H38" i="154"/>
  <c r="G42" i="155"/>
  <c r="H42" i="155"/>
  <c r="G15" i="156"/>
  <c r="H15" i="156"/>
  <c r="G18" i="156"/>
  <c r="H18" i="156"/>
  <c r="G22" i="156"/>
  <c r="H22" i="156"/>
  <c r="G26" i="156"/>
  <c r="H26" i="156"/>
  <c r="G29" i="156"/>
  <c r="H29" i="156"/>
  <c r="G31" i="156"/>
  <c r="H31" i="156"/>
  <c r="G42" i="156"/>
  <c r="H42" i="156"/>
  <c r="G16" i="157"/>
  <c r="H16" i="157"/>
  <c r="G42" i="157"/>
  <c r="H42" i="157"/>
  <c r="N17" i="159"/>
  <c r="O17" i="159"/>
  <c r="G43" i="159"/>
  <c r="H43" i="159"/>
  <c r="E42" i="157"/>
  <c r="F42" i="159"/>
  <c r="E23" i="155"/>
  <c r="G26" i="155"/>
  <c r="H26" i="155"/>
  <c r="E25" i="155"/>
  <c r="G28" i="155"/>
  <c r="H28" i="155" s="1"/>
  <c r="F28" i="155"/>
  <c r="G30" i="156"/>
  <c r="H30" i="156"/>
  <c r="F30" i="156"/>
  <c r="G35" i="156"/>
  <c r="H35" i="156" s="1"/>
  <c r="E35" i="156"/>
  <c r="G40" i="156"/>
  <c r="H40" i="156"/>
  <c r="E40" i="156"/>
  <c r="G14" i="157"/>
  <c r="F14" i="157"/>
  <c r="G21" i="157"/>
  <c r="H21" i="157" s="1"/>
  <c r="E21" i="157"/>
  <c r="G30" i="157"/>
  <c r="H30" i="157"/>
  <c r="F30" i="157"/>
  <c r="G41" i="157"/>
  <c r="H41" i="157" s="1"/>
  <c r="E41" i="157"/>
  <c r="G15" i="150"/>
  <c r="H15" i="150"/>
  <c r="G19" i="150"/>
  <c r="G23" i="150"/>
  <c r="G28" i="150"/>
  <c r="G32" i="150"/>
  <c r="H32" i="150" s="1"/>
  <c r="G40" i="150"/>
  <c r="H40" i="150" s="1"/>
  <c r="G17" i="152"/>
  <c r="H17" i="152" s="1"/>
  <c r="G25" i="152"/>
  <c r="H25" i="152" s="1"/>
  <c r="G34" i="152"/>
  <c r="H34" i="152" s="1"/>
  <c r="G19" i="154"/>
  <c r="H19" i="154" s="1"/>
  <c r="G24" i="154"/>
  <c r="H24" i="154" s="1"/>
  <c r="G31" i="154"/>
  <c r="H31" i="154" s="1"/>
  <c r="G32" i="154"/>
  <c r="H32" i="154" s="1"/>
  <c r="G37" i="154"/>
  <c r="H37" i="154" s="1"/>
  <c r="H31" i="155"/>
  <c r="G39" i="155"/>
  <c r="H39" i="155" s="1"/>
  <c r="G32" i="156"/>
  <c r="H32" i="156"/>
  <c r="G36" i="156"/>
  <c r="H36" i="156"/>
  <c r="G41" i="156"/>
  <c r="H41" i="156"/>
  <c r="G17" i="157"/>
  <c r="H17" i="157"/>
  <c r="G22" i="157"/>
  <c r="H22" i="157"/>
  <c r="G23" i="157"/>
  <c r="H23" i="157"/>
  <c r="G27" i="157"/>
  <c r="H27" i="157"/>
  <c r="G31" i="157"/>
  <c r="H31" i="157"/>
  <c r="G35" i="157"/>
  <c r="H35" i="157"/>
  <c r="G43" i="154"/>
  <c r="H43" i="154"/>
  <c r="F42" i="154"/>
  <c r="G24" i="155"/>
  <c r="H24" i="155" s="1"/>
  <c r="F24" i="155"/>
  <c r="G30" i="155"/>
  <c r="H30" i="155"/>
  <c r="E29" i="155"/>
  <c r="G32" i="155"/>
  <c r="H32" i="155" s="1"/>
  <c r="F32" i="155"/>
  <c r="G36" i="155"/>
  <c r="H36" i="155"/>
  <c r="F36" i="155"/>
  <c r="G17" i="156"/>
  <c r="H17" i="156" s="1"/>
  <c r="F17" i="156"/>
  <c r="G33" i="156"/>
  <c r="H33" i="156"/>
  <c r="F33" i="156"/>
  <c r="G18" i="157"/>
  <c r="H18" i="157" s="1"/>
  <c r="F18" i="157"/>
  <c r="G19" i="157"/>
  <c r="H19" i="157"/>
  <c r="E19" i="157"/>
  <c r="G24" i="157"/>
  <c r="H24" i="157" s="1"/>
  <c r="F24" i="157"/>
  <c r="G32" i="157"/>
  <c r="H32" i="157"/>
  <c r="F32" i="157"/>
  <c r="G36" i="157"/>
  <c r="H36" i="157" s="1"/>
  <c r="F36" i="157"/>
  <c r="G39" i="157"/>
  <c r="H39" i="157"/>
  <c r="E39" i="157"/>
  <c r="H24" i="148"/>
  <c r="H18" i="148"/>
  <c r="G31" i="148"/>
  <c r="H31" i="148" s="1"/>
  <c r="G33" i="148"/>
  <c r="H33" i="148" s="1"/>
  <c r="G39" i="148"/>
  <c r="H39" i="148" s="1"/>
  <c r="G34" i="148"/>
  <c r="H34" i="148" s="1"/>
  <c r="G29" i="148"/>
  <c r="H29" i="148" s="1"/>
  <c r="G28" i="148"/>
  <c r="H28" i="148" s="1"/>
  <c r="G27" i="148"/>
  <c r="H27" i="148" s="1"/>
  <c r="E17" i="150"/>
  <c r="E14" i="150"/>
  <c r="H14" i="148"/>
  <c r="E38" i="148"/>
  <c r="E28" i="148"/>
  <c r="E17" i="148"/>
  <c r="E27" i="148"/>
  <c r="E33" i="148"/>
  <c r="F42" i="148"/>
  <c r="F14" i="150"/>
  <c r="F17" i="150"/>
  <c r="T24" i="150"/>
  <c r="T29" i="150"/>
  <c r="T36" i="150"/>
  <c r="T40" i="150"/>
  <c r="F30" i="150"/>
  <c r="E16" i="152"/>
  <c r="F21" i="152"/>
  <c r="F28" i="152"/>
  <c r="F29" i="152"/>
  <c r="F30" i="152"/>
  <c r="E31" i="152"/>
  <c r="F32" i="152"/>
  <c r="F37" i="152"/>
  <c r="E41" i="152"/>
  <c r="F15" i="154"/>
  <c r="F16" i="154"/>
  <c r="F24" i="154"/>
  <c r="E31" i="154"/>
  <c r="G20" i="154"/>
  <c r="H20" i="154" s="1"/>
  <c r="G29" i="154"/>
  <c r="H29" i="154" s="1"/>
  <c r="F14" i="155"/>
  <c r="E31" i="155"/>
  <c r="F38" i="155"/>
  <c r="E13" i="155"/>
  <c r="H27" i="155"/>
  <c r="G37" i="155"/>
  <c r="H37" i="155"/>
  <c r="G41" i="155"/>
  <c r="H41" i="155"/>
  <c r="F35" i="156"/>
  <c r="G25" i="156"/>
  <c r="H25" i="156" s="1"/>
  <c r="G34" i="156"/>
  <c r="H34" i="156" s="1"/>
  <c r="G38" i="156"/>
  <c r="H38" i="156" s="1"/>
  <c r="H43" i="156"/>
  <c r="E16" i="157"/>
  <c r="F22" i="157"/>
  <c r="F34" i="157"/>
  <c r="F38" i="157"/>
  <c r="E14" i="157"/>
  <c r="H14" i="157"/>
  <c r="G15" i="157"/>
  <c r="H15" i="157"/>
  <c r="G20" i="157"/>
  <c r="H20" i="157"/>
  <c r="G25" i="157"/>
  <c r="H25" i="157"/>
  <c r="G29" i="157"/>
  <c r="H29" i="157"/>
  <c r="G33" i="157"/>
  <c r="H33" i="157"/>
  <c r="G37" i="157"/>
  <c r="H37" i="157"/>
  <c r="G40" i="157"/>
  <c r="H40" i="157"/>
  <c r="G15" i="158"/>
  <c r="H15" i="158"/>
  <c r="G18" i="158"/>
  <c r="H18" i="158"/>
  <c r="G21" i="158"/>
  <c r="H21" i="158"/>
  <c r="G25" i="158"/>
  <c r="H25" i="158"/>
  <c r="G28" i="158"/>
  <c r="H28" i="158"/>
  <c r="G30" i="158"/>
  <c r="H30" i="158"/>
  <c r="G32" i="158"/>
  <c r="H32" i="158"/>
  <c r="G34" i="158"/>
  <c r="H34" i="158"/>
  <c r="G36" i="158"/>
  <c r="H36" i="158"/>
  <c r="G38" i="158"/>
  <c r="H38" i="158"/>
  <c r="G40" i="158"/>
  <c r="H40" i="158"/>
  <c r="F40" i="159"/>
  <c r="E42" i="159"/>
  <c r="G16" i="159"/>
  <c r="H16" i="159"/>
  <c r="G19" i="159"/>
  <c r="H19" i="159"/>
  <c r="G23" i="159"/>
  <c r="H23" i="159"/>
  <c r="G25" i="159"/>
  <c r="H25" i="159"/>
  <c r="G27" i="159"/>
  <c r="H27" i="159"/>
  <c r="G29" i="159"/>
  <c r="H29" i="159"/>
  <c r="G32" i="159"/>
  <c r="H32" i="159"/>
  <c r="G34" i="159"/>
  <c r="H34" i="159"/>
  <c r="G36" i="159"/>
  <c r="H36" i="159"/>
  <c r="G38" i="159"/>
  <c r="H38" i="159"/>
  <c r="G40" i="159"/>
  <c r="H40" i="159"/>
  <c r="H42" i="152"/>
  <c r="G13" i="148"/>
  <c r="H13" i="148" s="1"/>
  <c r="E19" i="148"/>
  <c r="H42" i="159"/>
  <c r="G20" i="152"/>
  <c r="H20" i="152" s="1"/>
  <c r="G22" i="152"/>
  <c r="H22" i="152" s="1"/>
  <c r="G30" i="152"/>
  <c r="H30" i="152" s="1"/>
  <c r="G14" i="154"/>
  <c r="H14" i="154" s="1"/>
  <c r="E30" i="159"/>
  <c r="G28" i="152"/>
  <c r="H28" i="152"/>
  <c r="H16" i="152"/>
  <c r="F15" i="152"/>
  <c r="H34" i="150"/>
  <c r="T37" i="150"/>
  <c r="T25" i="150"/>
  <c r="H23" i="150"/>
  <c r="E30" i="150"/>
  <c r="T20" i="150"/>
  <c r="T23" i="150"/>
  <c r="T27" i="150"/>
  <c r="T43" i="150"/>
  <c r="E35" i="150"/>
  <c r="T34" i="150"/>
  <c r="T21" i="150"/>
  <c r="E21" i="150"/>
  <c r="H37" i="150"/>
  <c r="H24" i="150"/>
  <c r="F26" i="150"/>
  <c r="T16" i="150"/>
  <c r="F29" i="150"/>
  <c r="E39" i="150"/>
  <c r="F42" i="150"/>
  <c r="G17" i="150"/>
  <c r="H17" i="150" s="1"/>
  <c r="G21" i="150"/>
  <c r="H21" i="150" s="1"/>
  <c r="G26" i="150"/>
  <c r="H26" i="150" s="1"/>
  <c r="G30" i="150"/>
  <c r="H30" i="150" s="1"/>
  <c r="G38" i="150"/>
  <c r="H38" i="150" s="1"/>
  <c r="T41" i="150"/>
  <c r="T30" i="150"/>
  <c r="T19" i="150"/>
  <c r="G29" i="150"/>
  <c r="H29" i="150" s="1"/>
  <c r="T18" i="150"/>
  <c r="T33" i="150"/>
  <c r="E19" i="150"/>
  <c r="H25" i="150"/>
  <c r="F39" i="150"/>
  <c r="G43" i="150"/>
  <c r="H43" i="150" s="1"/>
  <c r="T26" i="150"/>
  <c r="T14" i="150"/>
  <c r="E26" i="150"/>
  <c r="G36" i="150"/>
  <c r="H36" i="150"/>
  <c r="H41" i="150"/>
  <c r="H33" i="150"/>
  <c r="H20" i="150"/>
  <c r="T42" i="150"/>
  <c r="T39" i="150"/>
  <c r="T35" i="150"/>
  <c r="T28" i="150"/>
  <c r="T22" i="150"/>
  <c r="G35" i="150"/>
  <c r="H35" i="150"/>
  <c r="H19" i="150" l="1"/>
  <c r="H28" i="150"/>
  <c r="G35" i="148"/>
  <c r="H35" i="148" s="1"/>
  <c r="G19" i="148"/>
  <c r="H19" i="148" s="1"/>
  <c r="E21" i="148"/>
  <c r="F31" i="148"/>
  <c r="G20" i="148"/>
  <c r="H20" i="148" s="1"/>
  <c r="F21" i="148"/>
  <c r="H25" i="148"/>
  <c r="E26" i="148"/>
  <c r="F34" i="148"/>
  <c r="H36" i="148"/>
  <c r="G38" i="148"/>
  <c r="H38" i="148" s="1"/>
  <c r="F39" i="148"/>
  <c r="G43" i="148"/>
  <c r="H43" i="148" s="1"/>
  <c r="T32" i="150"/>
  <c r="T15" i="150"/>
  <c r="H22" i="150"/>
  <c r="G27" i="150"/>
  <c r="H27" i="150" s="1"/>
  <c r="H32" i="152"/>
  <c r="E33" i="152"/>
  <c r="F20" i="154"/>
  <c r="E20" i="154"/>
  <c r="E26" i="154"/>
  <c r="H26" i="154"/>
  <c r="F27" i="154"/>
  <c r="G27" i="154"/>
  <c r="H27" i="154" s="1"/>
  <c r="G28" i="154"/>
  <c r="H28" i="154" s="1"/>
  <c r="G24" i="152"/>
  <c r="H24" i="152" s="1"/>
  <c r="E23" i="152"/>
  <c r="F23" i="152"/>
  <c r="G35" i="154"/>
  <c r="H35" i="154" s="1"/>
  <c r="E35" i="154"/>
  <c r="G39" i="154"/>
  <c r="H39" i="154" s="1"/>
  <c r="F38" i="154"/>
  <c r="G18" i="155"/>
  <c r="H18" i="155" s="1"/>
  <c r="E18" i="155"/>
  <c r="F34" i="155"/>
  <c r="G34" i="155"/>
  <c r="H34" i="155" s="1"/>
  <c r="G35" i="155"/>
  <c r="H35" i="155" s="1"/>
  <c r="E35" i="155"/>
  <c r="G37" i="148"/>
  <c r="H37" i="148" s="1"/>
  <c r="G21" i="148"/>
  <c r="H21" i="148" s="1"/>
  <c r="E20" i="148"/>
  <c r="E39" i="148"/>
  <c r="T13" i="150"/>
  <c r="T31" i="150"/>
  <c r="F18" i="152"/>
  <c r="H21" i="152"/>
  <c r="G31" i="152"/>
  <c r="H31" i="152" s="1"/>
  <c r="G32" i="152"/>
  <c r="G37" i="152"/>
  <c r="H37" i="152" s="1"/>
  <c r="G39" i="152"/>
  <c r="F39" i="152"/>
  <c r="E38" i="154"/>
  <c r="H39" i="152"/>
  <c r="F22" i="155"/>
  <c r="G22" i="155"/>
  <c r="H22" i="155" s="1"/>
  <c r="G23" i="155"/>
  <c r="H23" i="155" s="1"/>
  <c r="M40" i="152"/>
  <c r="F40" i="154"/>
  <c r="G37" i="156"/>
  <c r="H37" i="156" s="1"/>
  <c r="E31" i="157"/>
  <c r="F41" i="158"/>
  <c r="F19" i="156"/>
  <c r="G19" i="156"/>
  <c r="H19" i="156" s="1"/>
  <c r="F18" i="158"/>
  <c r="G22" i="158"/>
  <c r="H22" i="158" s="1"/>
  <c r="G27" i="158"/>
  <c r="H27" i="158" s="1"/>
  <c r="G41" i="158"/>
  <c r="H41" i="158" s="1"/>
  <c r="F22" i="158"/>
  <c r="E35" i="158"/>
</calcChain>
</file>

<file path=xl/sharedStrings.xml><?xml version="1.0" encoding="utf-8"?>
<sst xmlns="http://schemas.openxmlformats.org/spreadsheetml/2006/main" count="369" uniqueCount="37">
  <si>
    <t>Day of the Month</t>
  </si>
  <si>
    <t>Total Rooms On the Books for whole month</t>
  </si>
  <si>
    <t>Average Rate per Month</t>
  </si>
  <si>
    <t>Occ % for end of the Month</t>
  </si>
  <si>
    <t>Pick-Up Room Nights per Day</t>
  </si>
  <si>
    <t>Budget Occ %</t>
  </si>
  <si>
    <t>Budget Avg</t>
  </si>
  <si>
    <t>Budget Rm Rev</t>
  </si>
  <si>
    <t>Total Revenue On the Books for whole month</t>
  </si>
  <si>
    <t>Avg Rate Pick Up</t>
  </si>
  <si>
    <t>Avg Rate Pick up</t>
  </si>
  <si>
    <t>Available Rms</t>
  </si>
  <si>
    <t>Budget Rm Nts</t>
  </si>
  <si>
    <t>June</t>
  </si>
  <si>
    <t>May</t>
  </si>
  <si>
    <t>July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</si>
  <si>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</si>
  <si>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</si>
  <si>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</si>
  <si>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</si>
  <si>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</si>
  <si>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</si>
  <si>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</si>
  <si>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</si>
  <si>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Aug</t>
  </si>
  <si>
    <t>Sept</t>
  </si>
  <si>
    <t>August</t>
  </si>
  <si>
    <t>Hotel Name  :</t>
  </si>
  <si>
    <t>Date  :</t>
  </si>
  <si>
    <t>Month of Jan,Feb,Mar</t>
  </si>
  <si>
    <t>Month of Mar,Apr, May</t>
  </si>
  <si>
    <t xml:space="preserve">Month of May,Jun, July </t>
  </si>
  <si>
    <t>Month of Jun, July, Aug</t>
  </si>
  <si>
    <t>Month of July, Aug, Sept</t>
  </si>
  <si>
    <t>Month of Aug,Sept,Oct</t>
  </si>
  <si>
    <t>Month of Sept,Oct,Nov</t>
  </si>
  <si>
    <t>Month of Oct,Nov,Dec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</si>
</sst>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;[Red]0.00"/>
  </numFmts>
  <fonts count="7" x14ac:knownFonts="1">
    <font>
      <sz val="10"/>
      <name val="Book Antiqua"/>
    </font>
    <font>
      <sz val="10"/>
      <name val="Book Antiqua"/>
      <family val="1"/>
    </font>
    <font>
      <b/>
      <sz val="9"/>
      <name val="Book Antiqua"/>
      <family val="1"/>
    </font>
    <font>
      <sz val="9"/>
      <name val="Book Antiqua"/>
      <family val="1"/>
    </font>
    <font>
      <sz val="8"/>
      <name val="Book Antiqua"/>
      <family val="1"/>
    </font>
    <font>
      <sz val="9"/>
      <color indexed="8"/>
      <name val="Book Antiqua"/>
      <family val="1"/>
    </font>
    <font>
      <sz val="9"/>
      <color indexed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48"/>
      </right>
      <top style="thin">
        <color indexed="64"/>
      </top>
      <bottom style="thin">
        <color indexed="64"/>
      </bottom>
      <diagonal/>
    </border>
    <border>
      <left style="hair">
        <color indexed="4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48"/>
      </right>
      <top style="medium">
        <color indexed="64"/>
      </top>
      <bottom style="medium">
        <color indexed="64"/>
      </bottom>
      <diagonal/>
    </border>
    <border>
      <left style="hair">
        <color indexed="4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2" fontId="3" fillId="0" borderId="6" xfId="0" applyNumberFormat="1" applyFont="1" applyBorder="1" applyAlignment="1">
      <alignment horizontal="center"/>
    </xf>
    <xf numFmtId="10" fontId="3" fillId="0" borderId="6" xfId="1" applyNumberFormat="1" applyFont="1" applyBorder="1" applyAlignment="1">
      <alignment horizontal="center"/>
    </xf>
    <xf numFmtId="1" fontId="3" fillId="0" borderId="7" xfId="3" applyNumberFormat="1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1" fontId="3" fillId="0" borderId="8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right"/>
    </xf>
    <xf numFmtId="2" fontId="3" fillId="0" borderId="12" xfId="0" applyNumberFormat="1" applyFont="1" applyBorder="1" applyAlignment="1">
      <alignment horizontal="center"/>
    </xf>
    <xf numFmtId="10" fontId="3" fillId="0" borderId="12" xfId="1" applyNumberFormat="1" applyFont="1" applyBorder="1" applyAlignment="1">
      <alignment horizontal="center"/>
    </xf>
    <xf numFmtId="0" fontId="3" fillId="3" borderId="0" xfId="0" applyFont="1" applyFill="1"/>
    <xf numFmtId="10" fontId="3" fillId="0" borderId="2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3" fillId="0" borderId="13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2" fontId="3" fillId="0" borderId="8" xfId="3" applyNumberFormat="1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2" borderId="17" xfId="0" applyFont="1" applyFill="1" applyBorder="1" applyAlignment="1">
      <alignment horizontal="right"/>
    </xf>
    <xf numFmtId="0" fontId="3" fillId="2" borderId="18" xfId="0" applyFont="1" applyFill="1" applyBorder="1" applyAlignment="1">
      <alignment horizontal="right"/>
    </xf>
    <xf numFmtId="0" fontId="3" fillId="0" borderId="19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2" fontId="3" fillId="0" borderId="8" xfId="1" applyNumberFormat="1" applyFont="1" applyBorder="1" applyAlignment="1">
      <alignment horizontal="center"/>
    </xf>
    <xf numFmtId="0" fontId="3" fillId="0" borderId="10" xfId="0" applyFont="1" applyBorder="1" applyAlignment="1">
      <alignment horizontal="right"/>
    </xf>
    <xf numFmtId="1" fontId="3" fillId="2" borderId="17" xfId="0" applyNumberFormat="1" applyFont="1" applyFill="1" applyBorder="1" applyAlignment="1">
      <alignment horizontal="center"/>
    </xf>
    <xf numFmtId="1" fontId="3" fillId="2" borderId="18" xfId="0" applyNumberFormat="1" applyFont="1" applyFill="1" applyBorder="1" applyAlignment="1">
      <alignment horizontal="center"/>
    </xf>
    <xf numFmtId="0" fontId="3" fillId="0" borderId="20" xfId="0" applyFont="1" applyBorder="1" applyAlignment="1">
      <alignment horizontal="center" vertical="top" wrapText="1"/>
    </xf>
    <xf numFmtId="0" fontId="3" fillId="4" borderId="20" xfId="0" applyFont="1" applyFill="1" applyBorder="1" applyAlignment="1">
      <alignment vertical="top" wrapText="1"/>
    </xf>
    <xf numFmtId="10" fontId="3" fillId="2" borderId="21" xfId="1" applyNumberFormat="1" applyFont="1" applyFill="1" applyBorder="1" applyAlignment="1">
      <alignment horizontal="left"/>
    </xf>
    <xf numFmtId="10" fontId="3" fillId="2" borderId="22" xfId="1" applyNumberFormat="1" applyFont="1" applyFill="1" applyBorder="1" applyAlignment="1">
      <alignment horizontal="left"/>
    </xf>
    <xf numFmtId="2" fontId="3" fillId="0" borderId="15" xfId="0" applyNumberFormat="1" applyFont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/>
    </xf>
    <xf numFmtId="43" fontId="3" fillId="0" borderId="6" xfId="1" applyFont="1" applyBorder="1" applyAlignment="1"/>
    <xf numFmtId="43" fontId="3" fillId="0" borderId="9" xfId="1" applyFont="1" applyBorder="1" applyAlignment="1">
      <alignment horizontal="right"/>
    </xf>
    <xf numFmtId="43" fontId="3" fillId="0" borderId="6" xfId="1" applyFont="1" applyBorder="1" applyAlignment="1">
      <alignment horizontal="right"/>
    </xf>
    <xf numFmtId="43" fontId="3" fillId="0" borderId="11" xfId="1" applyFont="1" applyBorder="1" applyAlignment="1">
      <alignment horizontal="right"/>
    </xf>
    <xf numFmtId="43" fontId="3" fillId="0" borderId="12" xfId="1" applyFont="1" applyBorder="1" applyAlignment="1"/>
    <xf numFmtId="43" fontId="3" fillId="0" borderId="12" xfId="1" applyFont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43" fontId="3" fillId="3" borderId="6" xfId="1" applyFont="1" applyFill="1" applyBorder="1" applyAlignment="1"/>
    <xf numFmtId="43" fontId="3" fillId="0" borderId="6" xfId="1" applyFont="1" applyBorder="1" applyAlignment="1">
      <alignment horizontal="left"/>
    </xf>
    <xf numFmtId="0" fontId="3" fillId="0" borderId="6" xfId="1" applyNumberFormat="1" applyFont="1" applyBorder="1" applyAlignment="1">
      <alignment horizontal="center"/>
    </xf>
    <xf numFmtId="0" fontId="3" fillId="0" borderId="23" xfId="0" applyFont="1" applyBorder="1"/>
    <xf numFmtId="0" fontId="2" fillId="2" borderId="20" xfId="0" applyFont="1" applyFill="1" applyBorder="1" applyAlignment="1">
      <alignment horizontal="center"/>
    </xf>
    <xf numFmtId="164" fontId="3" fillId="0" borderId="15" xfId="0" applyNumberFormat="1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2" fontId="3" fillId="0" borderId="6" xfId="1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right"/>
    </xf>
    <xf numFmtId="43" fontId="3" fillId="0" borderId="9" xfId="2" applyNumberFormat="1" applyFont="1" applyBorder="1" applyAlignment="1">
      <alignment horizontal="right"/>
    </xf>
    <xf numFmtId="43" fontId="3" fillId="0" borderId="9" xfId="0" applyNumberFormat="1" applyFont="1" applyBorder="1" applyAlignment="1">
      <alignment horizontal="right"/>
    </xf>
    <xf numFmtId="0" fontId="3" fillId="0" borderId="6" xfId="1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2" fillId="2" borderId="2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0" borderId="24" xfId="0" applyFont="1" applyBorder="1" applyAlignment="1">
      <alignment horizontal="right"/>
    </xf>
    <xf numFmtId="0" fontId="3" fillId="0" borderId="0" xfId="0" applyFont="1" applyBorder="1"/>
    <xf numFmtId="0" fontId="3" fillId="0" borderId="25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2" fontId="3" fillId="0" borderId="8" xfId="0" applyNumberFormat="1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5" xfId="0" applyFont="1" applyBorder="1"/>
    <xf numFmtId="0" fontId="3" fillId="0" borderId="6" xfId="1" applyNumberFormat="1" applyFont="1" applyBorder="1" applyAlignment="1"/>
    <xf numFmtId="0" fontId="2" fillId="0" borderId="6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3" fillId="0" borderId="14" xfId="0" applyNumberFormat="1" applyFont="1" applyBorder="1" applyAlignment="1">
      <alignment horizontal="center" vertical="top" wrapText="1"/>
    </xf>
    <xf numFmtId="0" fontId="3" fillId="3" borderId="6" xfId="1" applyNumberFormat="1" applyFont="1" applyFill="1" applyBorder="1" applyAlignment="1"/>
    <xf numFmtId="0" fontId="3" fillId="0" borderId="12" xfId="1" applyNumberFormat="1" applyFont="1" applyBorder="1" applyAlignment="1"/>
    <xf numFmtId="0" fontId="3" fillId="0" borderId="0" xfId="0" applyNumberFormat="1" applyFont="1"/>
    <xf numFmtId="0" fontId="3" fillId="0" borderId="9" xfId="1" applyNumberFormat="1" applyFont="1" applyBorder="1" applyAlignment="1">
      <alignment horizontal="right"/>
    </xf>
    <xf numFmtId="0" fontId="3" fillId="0" borderId="9" xfId="2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1" xfId="1" applyNumberFormat="1" applyFont="1" applyBorder="1" applyAlignment="1">
      <alignment horizontal="right"/>
    </xf>
    <xf numFmtId="0" fontId="3" fillId="3" borderId="0" xfId="0" applyNumberFormat="1" applyFont="1" applyFill="1"/>
    <xf numFmtId="0" fontId="3" fillId="0" borderId="7" xfId="0" applyNumberFormat="1" applyFont="1" applyBorder="1" applyAlignment="1">
      <alignment horizontal="center" vertical="top" wrapText="1"/>
    </xf>
    <xf numFmtId="0" fontId="3" fillId="0" borderId="12" xfId="1" applyNumberFormat="1" applyFont="1" applyBorder="1" applyAlignment="1">
      <alignment horizontal="right"/>
    </xf>
    <xf numFmtId="1" fontId="3" fillId="0" borderId="26" xfId="3" applyNumberFormat="1" applyFont="1" applyBorder="1" applyAlignment="1">
      <alignment horizontal="center"/>
    </xf>
    <xf numFmtId="2" fontId="3" fillId="0" borderId="27" xfId="3" applyNumberFormat="1" applyFont="1" applyBorder="1" applyAlignment="1">
      <alignment horizontal="center"/>
    </xf>
    <xf numFmtId="2" fontId="3" fillId="0" borderId="27" xfId="1" applyNumberFormat="1" applyFont="1" applyBorder="1" applyAlignment="1">
      <alignment horizontal="center"/>
    </xf>
    <xf numFmtId="2" fontId="3" fillId="0" borderId="12" xfId="1" applyNumberFormat="1" applyFont="1" applyBorder="1" applyAlignment="1">
      <alignment horizontal="center"/>
    </xf>
    <xf numFmtId="1" fontId="3" fillId="0" borderId="27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164" fontId="3" fillId="0" borderId="28" xfId="0" applyNumberFormat="1" applyFont="1" applyBorder="1" applyAlignment="1">
      <alignment horizontal="right"/>
    </xf>
    <xf numFmtId="0" fontId="2" fillId="2" borderId="29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30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6" xfId="1" applyNumberFormat="1" applyFont="1" applyBorder="1" applyAlignment="1">
      <alignment horizontal="center" vertical="center"/>
    </xf>
    <xf numFmtId="0" fontId="3" fillId="0" borderId="0" xfId="1" applyNumberFormat="1" applyFont="1" applyBorder="1" applyAlignment="1">
      <alignment horizontal="right"/>
    </xf>
    <xf numFmtId="0" fontId="2" fillId="5" borderId="17" xfId="0" applyFont="1" applyFill="1" applyBorder="1" applyAlignment="1">
      <alignment horizontal="center"/>
    </xf>
    <xf numFmtId="0" fontId="3" fillId="6" borderId="1" xfId="0" applyFont="1" applyFill="1" applyBorder="1" applyAlignment="1">
      <alignment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6" borderId="3" xfId="0" applyFont="1" applyFill="1" applyBorder="1" applyAlignment="1">
      <alignment horizontal="center" vertical="top" wrapText="1"/>
    </xf>
    <xf numFmtId="0" fontId="3" fillId="6" borderId="1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3" fillId="6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Border="1" applyAlignment="1">
      <alignment horizontal="center"/>
    </xf>
    <xf numFmtId="10" fontId="3" fillId="0" borderId="2" xfId="1" applyNumberFormat="1" applyFont="1" applyBorder="1" applyAlignment="1">
      <alignment horizontal="center"/>
    </xf>
    <xf numFmtId="1" fontId="3" fillId="0" borderId="24" xfId="3" applyNumberFormat="1" applyFont="1" applyBorder="1" applyAlignment="1">
      <alignment horizontal="center"/>
    </xf>
    <xf numFmtId="2" fontId="3" fillId="0" borderId="3" xfId="3" applyNumberFormat="1" applyFont="1" applyBorder="1" applyAlignment="1">
      <alignment horizontal="center"/>
    </xf>
    <xf numFmtId="0" fontId="3" fillId="2" borderId="16" xfId="0" applyFont="1" applyFill="1" applyBorder="1" applyAlignment="1">
      <alignment horizontal="right"/>
    </xf>
    <xf numFmtId="0" fontId="3" fillId="0" borderId="2" xfId="1" applyNumberFormat="1" applyFont="1" applyBorder="1" applyAlignment="1"/>
    <xf numFmtId="2" fontId="3" fillId="0" borderId="3" xfId="1" applyNumberFormat="1" applyFont="1" applyBorder="1" applyAlignment="1">
      <alignment horizontal="center"/>
    </xf>
    <xf numFmtId="1" fontId="3" fillId="2" borderId="16" xfId="0" applyNumberFormat="1" applyFont="1" applyFill="1" applyBorder="1" applyAlignment="1">
      <alignment horizontal="center"/>
    </xf>
    <xf numFmtId="0" fontId="3" fillId="0" borderId="2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1" fontId="3" fillId="0" borderId="31" xfId="3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2" fontId="3" fillId="0" borderId="32" xfId="1" applyNumberFormat="1" applyFont="1" applyBorder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3" borderId="36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5" borderId="38" xfId="0" applyFont="1" applyFill="1" applyBorder="1" applyAlignment="1">
      <alignment horizontal="center"/>
    </xf>
    <xf numFmtId="0" fontId="2" fillId="5" borderId="39" xfId="0" applyFont="1" applyFill="1" applyBorder="1" applyAlignment="1">
      <alignment horizontal="center"/>
    </xf>
    <xf numFmtId="0" fontId="2" fillId="5" borderId="40" xfId="0" applyFont="1" applyFill="1" applyBorder="1" applyAlignment="1">
      <alignment horizontal="center"/>
    </xf>
    <xf numFmtId="0" fontId="2" fillId="5" borderId="24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6" fillId="3" borderId="41" xfId="0" applyNumberFormat="1" applyFont="1" applyFill="1" applyBorder="1" applyAlignment="1" applyProtection="1">
      <alignment horizontal="center"/>
    </xf>
    <xf numFmtId="0" fontId="6" fillId="3" borderId="42" xfId="0" applyNumberFormat="1" applyFont="1" applyFill="1" applyBorder="1" applyAlignment="1" applyProtection="1">
      <alignment horizontal="center"/>
    </xf>
    <xf numFmtId="0" fontId="2" fillId="0" borderId="17" xfId="0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7" xfId="0" applyNumberFormat="1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3" borderId="41" xfId="0" applyNumberFormat="1" applyFont="1" applyFill="1" applyBorder="1" applyAlignment="1" applyProtection="1">
      <alignment horizontal="center"/>
    </xf>
    <xf numFmtId="0" fontId="5" fillId="3" borderId="42" xfId="0" applyNumberFormat="1" applyFont="1" applyFill="1" applyBorder="1" applyAlignment="1" applyProtection="1">
      <alignment horizontal="center"/>
    </xf>
    <xf numFmtId="0" fontId="2" fillId="3" borderId="24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5" fillId="3" borderId="43" xfId="0" applyNumberFormat="1" applyFont="1" applyFill="1" applyBorder="1" applyAlignment="1" applyProtection="1">
      <alignment horizontal="center"/>
    </xf>
    <xf numFmtId="0" fontId="5" fillId="3" borderId="44" xfId="0" applyNumberFormat="1" applyFont="1" applyFill="1" applyBorder="1" applyAlignment="1" applyProtection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4</xdr:col>
      <xdr:colOff>47625</xdr:colOff>
      <xdr:row>3</xdr:row>
      <xdr:rowOff>104775</xdr:rowOff>
    </xdr:to>
    <xdr:pic>
      <xdr:nvPicPr>
        <xdr:cNvPr id="8206" name="Picture 0" descr="Description: Millennium Logo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3525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abSelected="1" topLeftCell="B1" zoomScaleSheetLayoutView="100" workbookViewId="0">
      <selection activeCell="H13" sqref="H13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.85546875" style="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11.28515625" style="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11.7109375" style="1" customWidth="1"/>
    <col min="19" max="19" width="8.5703125" style="1" customWidth="1"/>
    <col min="20" max="20" width="7.42578125" style="1" customWidth="1"/>
    <col min="21" max="21" width="4.7109375" style="1" customWidth="1"/>
    <col min="22" max="22" width="8.425781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1" spans="1:25" ht="46.5" customHeight="1" x14ac:dyDescent="0.25"/>
    <row r="2" spans="1:25" ht="14.25" x14ac:dyDescent="0.3">
      <c r="N2" s="132" t="s">
        <v>27</v>
      </c>
      <c r="O2" s="132"/>
      <c r="P2" s="132"/>
      <c r="Q2" s="132"/>
      <c r="R2" s="134"/>
      <c r="S2" s="134"/>
      <c r="T2" s="134"/>
      <c r="U2" s="134"/>
      <c r="V2" s="134"/>
    </row>
    <row r="3" spans="1:25" ht="14.25" x14ac:dyDescent="0.3">
      <c r="N3" s="133" t="s">
        <v>28</v>
      </c>
      <c r="O3" s="133"/>
      <c r="P3" s="133"/>
      <c r="Q3" s="133"/>
      <c r="R3" s="134"/>
      <c r="S3" s="134"/>
      <c r="T3" s="134"/>
      <c r="U3" s="134"/>
      <c r="V3" s="134"/>
    </row>
    <row r="4" spans="1:25" ht="14.25" thickBot="1" x14ac:dyDescent="0.3"/>
    <row r="5" spans="1:25" ht="16.5" customHeight="1" thickBot="1" x14ac:dyDescent="0.35">
      <c r="B5" s="135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7"/>
      <c r="Y5" s="56"/>
    </row>
    <row r="6" spans="1:25" ht="17.25" customHeight="1" thickBot="1" x14ac:dyDescent="0.35">
      <c r="A6" s="1" t="s">
        <v>13</v>
      </c>
      <c r="B6" s="125" t="s">
        <v>20</v>
      </c>
      <c r="C6" s="126"/>
      <c r="D6" s="126"/>
      <c r="E6" s="126"/>
      <c r="F6" s="126"/>
      <c r="G6" s="126"/>
      <c r="H6" s="127"/>
      <c r="I6" s="104"/>
      <c r="J6" s="125" t="s">
        <v>21</v>
      </c>
      <c r="K6" s="126"/>
      <c r="L6" s="126"/>
      <c r="M6" s="126"/>
      <c r="N6" s="126"/>
      <c r="O6" s="127"/>
      <c r="P6" s="104"/>
      <c r="Q6" s="125" t="s">
        <v>22</v>
      </c>
      <c r="R6" s="126"/>
      <c r="S6" s="126"/>
      <c r="T6" s="126"/>
      <c r="U6" s="126"/>
      <c r="V6" s="127"/>
      <c r="W6" s="45"/>
    </row>
    <row r="7" spans="1:25" ht="12.75" customHeight="1" x14ac:dyDescent="0.3">
      <c r="B7" s="23"/>
      <c r="C7" s="24" t="s">
        <v>12</v>
      </c>
      <c r="D7" s="25"/>
      <c r="E7" s="13">
        <v>6525</v>
      </c>
      <c r="F7" s="25"/>
      <c r="G7" s="13" t="s">
        <v>6</v>
      </c>
      <c r="H7" s="58">
        <v>725.13</v>
      </c>
      <c r="I7" s="4"/>
      <c r="J7" s="24" t="s">
        <v>12</v>
      </c>
      <c r="K7" s="25"/>
      <c r="L7" s="13">
        <v>6375</v>
      </c>
      <c r="M7" s="25"/>
      <c r="N7" s="13" t="s">
        <v>6</v>
      </c>
      <c r="O7" s="58">
        <v>746.18</v>
      </c>
      <c r="P7" s="4"/>
      <c r="Q7" s="24" t="s">
        <v>12</v>
      </c>
      <c r="R7" s="25"/>
      <c r="S7" s="13">
        <v>6765</v>
      </c>
      <c r="T7" s="25"/>
      <c r="U7" s="13" t="s">
        <v>6</v>
      </c>
      <c r="V7" s="58">
        <v>675.91</v>
      </c>
      <c r="W7" s="57"/>
    </row>
    <row r="8" spans="1:25" ht="12" customHeight="1" x14ac:dyDescent="0.3">
      <c r="B8" s="2"/>
      <c r="C8" s="6" t="s">
        <v>5</v>
      </c>
      <c r="D8" s="3"/>
      <c r="E8" s="22">
        <v>0.85199999999999998</v>
      </c>
      <c r="F8" s="128" t="s">
        <v>7</v>
      </c>
      <c r="G8" s="129"/>
      <c r="H8" s="7">
        <v>4731500</v>
      </c>
      <c r="I8" s="4"/>
      <c r="J8" s="6" t="s">
        <v>5</v>
      </c>
      <c r="K8" s="3"/>
      <c r="L8" s="22">
        <v>0.92200000000000004</v>
      </c>
      <c r="M8" s="128" t="s">
        <v>7</v>
      </c>
      <c r="N8" s="129"/>
      <c r="O8" s="7">
        <v>4756900</v>
      </c>
      <c r="P8" s="7">
        <v>0</v>
      </c>
      <c r="Q8" s="6" t="s">
        <v>5</v>
      </c>
      <c r="R8" s="3"/>
      <c r="S8" s="22">
        <v>0.88400000000000001</v>
      </c>
      <c r="T8" s="128" t="s">
        <v>7</v>
      </c>
      <c r="U8" s="129"/>
      <c r="V8" s="7">
        <v>4572525</v>
      </c>
      <c r="W8" s="5"/>
    </row>
    <row r="9" spans="1:25" ht="11.25" customHeight="1" x14ac:dyDescent="0.3">
      <c r="B9" s="2"/>
      <c r="C9" s="6" t="s">
        <v>11</v>
      </c>
      <c r="D9" s="3"/>
      <c r="E9" s="7">
        <v>7657</v>
      </c>
      <c r="F9" s="3"/>
      <c r="G9" s="3"/>
      <c r="H9" s="59"/>
      <c r="I9" s="4"/>
      <c r="J9" s="6" t="s">
        <v>11</v>
      </c>
      <c r="K9" s="3"/>
      <c r="L9" s="7">
        <v>6916</v>
      </c>
      <c r="M9" s="3"/>
      <c r="N9" s="3"/>
      <c r="O9" s="59"/>
      <c r="P9" s="4"/>
      <c r="Q9" s="6" t="s">
        <v>11</v>
      </c>
      <c r="R9" s="3"/>
      <c r="S9" s="7">
        <v>7657</v>
      </c>
      <c r="T9" s="3"/>
      <c r="U9" s="3"/>
      <c r="V9" s="59"/>
      <c r="W9" s="57"/>
    </row>
    <row r="10" spans="1:25" ht="17.25" customHeight="1" thickBot="1" x14ac:dyDescent="0.35">
      <c r="B10" s="130" t="s">
        <v>29</v>
      </c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X10" s="56"/>
      <c r="Y10" s="56"/>
    </row>
    <row r="11" spans="1:25" ht="39" customHeight="1" x14ac:dyDescent="0.25">
      <c r="B11" s="26" t="s">
        <v>0</v>
      </c>
      <c r="C11" s="27" t="s">
        <v>1</v>
      </c>
      <c r="D11" s="27" t="s">
        <v>8</v>
      </c>
      <c r="E11" s="27" t="s">
        <v>2</v>
      </c>
      <c r="F11" s="27" t="s">
        <v>3</v>
      </c>
      <c r="G11" s="27" t="s">
        <v>4</v>
      </c>
      <c r="H11" s="28" t="s">
        <v>9</v>
      </c>
      <c r="I11" s="30"/>
      <c r="J11" s="33" t="s">
        <v>1</v>
      </c>
      <c r="K11" s="27" t="s">
        <v>8</v>
      </c>
      <c r="L11" s="27" t="s">
        <v>2</v>
      </c>
      <c r="M11" s="27" t="s">
        <v>3</v>
      </c>
      <c r="N11" s="27" t="s">
        <v>4</v>
      </c>
      <c r="O11" s="28" t="s">
        <v>9</v>
      </c>
      <c r="P11" s="30"/>
      <c r="Q11" s="33" t="s">
        <v>1</v>
      </c>
      <c r="R11" s="27" t="s">
        <v>8</v>
      </c>
      <c r="S11" s="27" t="s">
        <v>2</v>
      </c>
      <c r="T11" s="27" t="s">
        <v>3</v>
      </c>
      <c r="U11" s="27" t="s">
        <v>4</v>
      </c>
      <c r="V11" s="44" t="s">
        <v>10</v>
      </c>
      <c r="W11" s="40"/>
      <c r="X11" s="56"/>
    </row>
    <row r="12" spans="1:25" ht="12" customHeight="1" x14ac:dyDescent="0.25">
      <c r="B12" s="105"/>
      <c r="C12" s="106">
        <v>304</v>
      </c>
      <c r="D12" s="106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/>
      <c r="J12" s="109">
        <v>304</v>
      </c>
      <c r="K12" s="106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/>
      <c r="Q12" s="109">
        <v>304</v>
      </c>
      <c r="R12" s="106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2" customHeight="1" x14ac:dyDescent="0.25">
      <c r="B13" s="8">
        <v>1</v>
      </c>
      <c r="C13" s="9">
        <f>4761+227</f>
        <v>4988</v>
      </c>
      <c r="D13" s="54">
        <f>2684304.07+133686.11</f>
        <v>2817990.1799999997</v>
      </c>
      <c r="E13" s="10">
        <f t="shared" ref="E13:E43" si="0">D13/C13</f>
        <v>564.95392542101035</v>
      </c>
      <c r="F13" s="11">
        <f t="shared" ref="F13:F43" si="1">C13/$E$9</f>
        <v>0.65143006399373127</v>
      </c>
      <c r="G13" s="12">
        <f>(C13-4938)</f>
        <v>50</v>
      </c>
      <c r="H13" s="36">
        <f>-(D13-2241965.51)/-G13</f>
        <v>11520.493399999999</v>
      </c>
      <c r="I13" s="31"/>
      <c r="J13" s="52">
        <v>1525</v>
      </c>
      <c r="K13" s="53">
        <v>828216.54</v>
      </c>
      <c r="L13" s="10">
        <f t="shared" ref="L13:L41" si="2">K13/J13</f>
        <v>543.09281311475411</v>
      </c>
      <c r="M13" s="11">
        <f t="shared" ref="M13:M41" si="3">J13/$L$9</f>
        <v>0.22050318102949681</v>
      </c>
      <c r="N13" s="14">
        <f>J13-1506</f>
        <v>19</v>
      </c>
      <c r="O13" s="36">
        <f>(K13-1905664.12)/N13</f>
        <v>-56707.767368421053</v>
      </c>
      <c r="P13" s="38"/>
      <c r="Q13" s="34">
        <v>1131</v>
      </c>
      <c r="R13" s="48">
        <v>560429.71</v>
      </c>
      <c r="S13" s="60">
        <f t="shared" ref="S13:S43" si="4">R13/Q13</f>
        <v>495.51698496905391</v>
      </c>
      <c r="T13" s="11">
        <f t="shared" ref="T13:T43" si="5">Q13/$S$9</f>
        <v>0.14770797962648557</v>
      </c>
      <c r="U13" s="14">
        <f>Q13-2479</f>
        <v>-1348</v>
      </c>
      <c r="V13" s="36">
        <f>(R13-R12)/U13</f>
        <v>-415.52352373887237</v>
      </c>
      <c r="W13" s="42"/>
    </row>
    <row r="14" spans="1:25" ht="12" customHeight="1" x14ac:dyDescent="0.25">
      <c r="B14" s="15">
        <f>B13+1</f>
        <v>2</v>
      </c>
      <c r="C14" s="16">
        <f>418+4758</f>
        <v>5176</v>
      </c>
      <c r="D14" s="46">
        <f>249651.3+2680895.65</f>
        <v>2930546.9499999997</v>
      </c>
      <c r="E14" s="10">
        <f t="shared" si="0"/>
        <v>566.17985896445123</v>
      </c>
      <c r="F14" s="11">
        <f t="shared" si="1"/>
        <v>0.67598276087240439</v>
      </c>
      <c r="G14" s="12">
        <f t="shared" ref="G14:G32" si="6">(C14-C13)</f>
        <v>188</v>
      </c>
      <c r="H14" s="29">
        <f t="shared" ref="H14:H43" si="7">(D14-D13)/G14</f>
        <v>598.70622340425541</v>
      </c>
      <c r="I14" s="31"/>
      <c r="J14" s="35">
        <v>1619</v>
      </c>
      <c r="K14" s="46">
        <v>880292.98</v>
      </c>
      <c r="L14" s="10">
        <f t="shared" si="2"/>
        <v>543.72636195182213</v>
      </c>
      <c r="M14" s="11">
        <f t="shared" si="3"/>
        <v>0.23409485251590514</v>
      </c>
      <c r="N14" s="12">
        <f t="shared" ref="N14:N41" si="8">(J14-J13)</f>
        <v>94</v>
      </c>
      <c r="O14" s="36">
        <f>-(K14-K13)/-N14</f>
        <v>554.0046808510632</v>
      </c>
      <c r="P14" s="38"/>
      <c r="Q14" s="34">
        <v>1133</v>
      </c>
      <c r="R14" s="48">
        <v>561179.71</v>
      </c>
      <c r="S14" s="10">
        <f t="shared" si="4"/>
        <v>495.30424536628419</v>
      </c>
      <c r="T14" s="11">
        <f t="shared" si="5"/>
        <v>0.14796917852945018</v>
      </c>
      <c r="U14" s="14">
        <f t="shared" ref="U14:U43" si="9">Q14-Q13</f>
        <v>2</v>
      </c>
      <c r="V14" s="36">
        <f>(R14-R13)/U14</f>
        <v>375</v>
      </c>
      <c r="W14" s="42"/>
    </row>
    <row r="15" spans="1:25" ht="12" customHeight="1" x14ac:dyDescent="0.25">
      <c r="B15" s="15">
        <f>B14+1</f>
        <v>3</v>
      </c>
      <c r="C15" s="16">
        <f>4693+636</f>
        <v>5329</v>
      </c>
      <c r="D15" s="46">
        <f>2656939.23+373857.87</f>
        <v>3030797.1</v>
      </c>
      <c r="E15" s="10">
        <f t="shared" si="0"/>
        <v>568.73655470069434</v>
      </c>
      <c r="F15" s="11">
        <f t="shared" si="1"/>
        <v>0.69596447694919683</v>
      </c>
      <c r="G15" s="12">
        <f t="shared" si="6"/>
        <v>153</v>
      </c>
      <c r="H15" s="29">
        <f t="shared" si="7"/>
        <v>655.22973856209398</v>
      </c>
      <c r="I15" s="31"/>
      <c r="J15" s="35">
        <v>1675</v>
      </c>
      <c r="K15" s="46">
        <v>911825.47</v>
      </c>
      <c r="L15" s="10">
        <f t="shared" si="2"/>
        <v>544.37341492537314</v>
      </c>
      <c r="M15" s="11">
        <f t="shared" si="3"/>
        <v>0.24219201850780797</v>
      </c>
      <c r="N15" s="12">
        <f t="shared" si="8"/>
        <v>56</v>
      </c>
      <c r="O15" s="36">
        <f>-(K15-K14)/-N15</f>
        <v>563.08017857142841</v>
      </c>
      <c r="P15" s="38"/>
      <c r="Q15" s="34">
        <v>1136</v>
      </c>
      <c r="R15" s="48">
        <v>563179.71</v>
      </c>
      <c r="S15" s="60">
        <f t="shared" si="4"/>
        <v>495.75678697183093</v>
      </c>
      <c r="T15" s="11">
        <f t="shared" si="5"/>
        <v>0.1483609768838971</v>
      </c>
      <c r="U15" s="14">
        <f t="shared" si="9"/>
        <v>3</v>
      </c>
      <c r="V15" s="36">
        <f>(R15-R14)/U15</f>
        <v>666.66666666666663</v>
      </c>
      <c r="W15" s="42"/>
    </row>
    <row r="16" spans="1:25" ht="12" customHeight="1" x14ac:dyDescent="0.25">
      <c r="B16" s="15">
        <v>4</v>
      </c>
      <c r="C16" s="16">
        <f>4600+883</f>
        <v>5483</v>
      </c>
      <c r="D16" s="46">
        <f>2630851.99+510945.5</f>
        <v>3141797.49</v>
      </c>
      <c r="E16" s="10">
        <f t="shared" si="0"/>
        <v>573.00701987962793</v>
      </c>
      <c r="F16" s="11">
        <f t="shared" si="1"/>
        <v>0.71607679247747158</v>
      </c>
      <c r="G16" s="12">
        <f t="shared" si="6"/>
        <v>154</v>
      </c>
      <c r="H16" s="29">
        <f t="shared" si="7"/>
        <v>720.78175324675408</v>
      </c>
      <c r="I16" s="31"/>
      <c r="J16" s="35">
        <v>1724</v>
      </c>
      <c r="K16" s="46">
        <v>936123.9</v>
      </c>
      <c r="L16" s="10">
        <f t="shared" si="2"/>
        <v>542.99530162412998</v>
      </c>
      <c r="M16" s="11">
        <f t="shared" si="3"/>
        <v>0.24927703875072296</v>
      </c>
      <c r="N16" s="12">
        <f t="shared" si="8"/>
        <v>49</v>
      </c>
      <c r="O16" s="36">
        <f>-(K16-K15)/-N16</f>
        <v>495.8863265306133</v>
      </c>
      <c r="P16" s="38"/>
      <c r="Q16" s="34">
        <v>1146</v>
      </c>
      <c r="R16" s="48">
        <v>568688.03</v>
      </c>
      <c r="S16" s="60">
        <f t="shared" si="4"/>
        <v>496.2373734729494</v>
      </c>
      <c r="T16" s="11">
        <f t="shared" si="5"/>
        <v>0.14966697139872012</v>
      </c>
      <c r="U16" s="14">
        <f t="shared" si="9"/>
        <v>10</v>
      </c>
      <c r="V16" s="36">
        <f>(R16-R15)/U16</f>
        <v>550.83200000000647</v>
      </c>
      <c r="W16" s="42"/>
    </row>
    <row r="17" spans="2:23" ht="12" customHeight="1" x14ac:dyDescent="0.25">
      <c r="B17" s="15">
        <f t="shared" ref="B17:B41" si="10">B16+1</f>
        <v>5</v>
      </c>
      <c r="C17" s="16">
        <f>1124+4379</f>
        <v>5503</v>
      </c>
      <c r="D17" s="47">
        <f>650026.42+2546906.94</f>
        <v>3196933.36</v>
      </c>
      <c r="E17" s="10">
        <f t="shared" si="0"/>
        <v>580.94373250954027</v>
      </c>
      <c r="F17" s="11">
        <f t="shared" si="1"/>
        <v>0.71868878150711768</v>
      </c>
      <c r="G17" s="12">
        <f t="shared" si="6"/>
        <v>20</v>
      </c>
      <c r="H17" s="29">
        <f t="shared" si="7"/>
        <v>2756.7934999999825</v>
      </c>
      <c r="I17" s="31"/>
      <c r="J17" s="35">
        <v>1812</v>
      </c>
      <c r="K17" s="46">
        <v>993190.66</v>
      </c>
      <c r="L17" s="10">
        <f t="shared" si="2"/>
        <v>548.11846578366453</v>
      </c>
      <c r="M17" s="11">
        <f t="shared" si="3"/>
        <v>0.26200115673799884</v>
      </c>
      <c r="N17" s="12">
        <f t="shared" si="8"/>
        <v>88</v>
      </c>
      <c r="O17" s="36">
        <f>(K17-K16)/N17</f>
        <v>648.48590909090922</v>
      </c>
      <c r="P17" s="38"/>
      <c r="Q17" s="34">
        <v>1173</v>
      </c>
      <c r="R17" s="48">
        <v>584263.03</v>
      </c>
      <c r="S17" s="60">
        <f t="shared" si="4"/>
        <v>498.09294970161983</v>
      </c>
      <c r="T17" s="11">
        <f t="shared" si="5"/>
        <v>0.15319315658874233</v>
      </c>
      <c r="U17" s="14">
        <f t="shared" si="9"/>
        <v>27</v>
      </c>
      <c r="V17" s="36">
        <f>(R17-R16)/-U17</f>
        <v>-576.85185185185185</v>
      </c>
      <c r="W17" s="42"/>
    </row>
    <row r="18" spans="2:23" ht="12" customHeight="1" x14ac:dyDescent="0.25">
      <c r="B18" s="15">
        <f t="shared" si="10"/>
        <v>6</v>
      </c>
      <c r="C18" s="16">
        <f>4198+1368</f>
        <v>5566</v>
      </c>
      <c r="D18" s="47">
        <f>2465879.23+790953.94</f>
        <v>3256833.17</v>
      </c>
      <c r="E18" s="10">
        <f t="shared" si="0"/>
        <v>585.12992633848364</v>
      </c>
      <c r="F18" s="11">
        <f t="shared" si="1"/>
        <v>0.72691654695050278</v>
      </c>
      <c r="G18" s="12">
        <f t="shared" si="6"/>
        <v>63</v>
      </c>
      <c r="H18" s="29">
        <f t="shared" si="7"/>
        <v>950.79063492063585</v>
      </c>
      <c r="I18" s="31">
        <v>0</v>
      </c>
      <c r="J18" s="35">
        <v>1973</v>
      </c>
      <c r="K18" s="46">
        <v>1085621.3799999999</v>
      </c>
      <c r="L18" s="10">
        <f t="shared" si="2"/>
        <v>550.23891535732378</v>
      </c>
      <c r="M18" s="11">
        <f t="shared" si="3"/>
        <v>0.28528050896471951</v>
      </c>
      <c r="N18" s="12">
        <f t="shared" si="8"/>
        <v>161</v>
      </c>
      <c r="O18" s="36">
        <f>(K18-K17)/N18</f>
        <v>574.10385093167611</v>
      </c>
      <c r="P18" s="38"/>
      <c r="Q18" s="34">
        <v>1176</v>
      </c>
      <c r="R18" s="48">
        <v>585863.03</v>
      </c>
      <c r="S18" s="60">
        <f t="shared" si="4"/>
        <v>498.18284863945581</v>
      </c>
      <c r="T18" s="11">
        <f t="shared" si="5"/>
        <v>0.15358495494318924</v>
      </c>
      <c r="U18" s="14">
        <f t="shared" si="9"/>
        <v>3</v>
      </c>
      <c r="V18" s="36">
        <f t="shared" ref="V18:V38" si="11">(R18-R17)/U18</f>
        <v>533.33333333333337</v>
      </c>
      <c r="W18" s="42"/>
    </row>
    <row r="19" spans="2:23" ht="12" customHeight="1" x14ac:dyDescent="0.25">
      <c r="B19" s="15">
        <f t="shared" si="10"/>
        <v>7</v>
      </c>
      <c r="C19" s="16">
        <f>4003+1604</f>
        <v>5607</v>
      </c>
      <c r="D19" s="47">
        <f>2375897.59+917491.83</f>
        <v>3293389.42</v>
      </c>
      <c r="E19" s="10">
        <f t="shared" si="0"/>
        <v>587.37103977171387</v>
      </c>
      <c r="F19" s="11">
        <f t="shared" si="1"/>
        <v>0.73227112446127729</v>
      </c>
      <c r="G19" s="12">
        <f t="shared" si="6"/>
        <v>41</v>
      </c>
      <c r="H19" s="29">
        <f t="shared" si="7"/>
        <v>891.61585365853659</v>
      </c>
      <c r="I19" s="31"/>
      <c r="J19" s="35">
        <v>2009</v>
      </c>
      <c r="K19" s="46">
        <v>1107225.55</v>
      </c>
      <c r="L19" s="10">
        <f t="shared" si="2"/>
        <v>551.13267794922854</v>
      </c>
      <c r="M19" s="11">
        <f t="shared" si="3"/>
        <v>0.29048582995951416</v>
      </c>
      <c r="N19" s="12">
        <f t="shared" si="8"/>
        <v>36</v>
      </c>
      <c r="O19" s="36">
        <f>-(K19-K18)/-N19</f>
        <v>600.11583333333772</v>
      </c>
      <c r="P19" s="38"/>
      <c r="Q19" s="34">
        <v>1185</v>
      </c>
      <c r="R19" s="48">
        <v>590104.72</v>
      </c>
      <c r="S19" s="60">
        <f t="shared" si="4"/>
        <v>497.97866666666664</v>
      </c>
      <c r="T19" s="11">
        <f t="shared" si="5"/>
        <v>0.15476035000652996</v>
      </c>
      <c r="U19" s="14">
        <f t="shared" si="9"/>
        <v>9</v>
      </c>
      <c r="V19" s="36">
        <f t="shared" si="11"/>
        <v>471.29888888888269</v>
      </c>
      <c r="W19" s="42"/>
    </row>
    <row r="20" spans="2:23" ht="12" customHeight="1" x14ac:dyDescent="0.25">
      <c r="B20" s="15">
        <f t="shared" si="10"/>
        <v>8</v>
      </c>
      <c r="C20" s="16">
        <f>3755+1827</f>
        <v>5582</v>
      </c>
      <c r="D20" s="47">
        <f>2247319.92+1049773.66</f>
        <v>3297093.58</v>
      </c>
      <c r="E20" s="10">
        <f t="shared" si="0"/>
        <v>590.66527767825153</v>
      </c>
      <c r="F20" s="11">
        <f t="shared" si="1"/>
        <v>0.72900613817421966</v>
      </c>
      <c r="G20" s="12">
        <f t="shared" si="6"/>
        <v>-25</v>
      </c>
      <c r="H20" s="29">
        <f t="shared" si="7"/>
        <v>-148.16640000000595</v>
      </c>
      <c r="I20" s="31"/>
      <c r="J20" s="35">
        <v>2025</v>
      </c>
      <c r="K20" s="46">
        <v>1116817.27</v>
      </c>
      <c r="L20" s="10">
        <f t="shared" si="2"/>
        <v>551.51470123456795</v>
      </c>
      <c r="M20" s="11">
        <f t="shared" si="3"/>
        <v>0.29279930595720072</v>
      </c>
      <c r="N20" s="12">
        <f t="shared" si="8"/>
        <v>16</v>
      </c>
      <c r="O20" s="36">
        <f>(K20-K19)/N20</f>
        <v>599.48249999999825</v>
      </c>
      <c r="P20" s="38"/>
      <c r="Q20" s="34">
        <v>1187</v>
      </c>
      <c r="R20" s="48">
        <v>591788.06000000006</v>
      </c>
      <c r="S20" s="60">
        <f t="shared" si="4"/>
        <v>498.55775905644487</v>
      </c>
      <c r="T20" s="11">
        <f t="shared" si="5"/>
        <v>0.15502154890949457</v>
      </c>
      <c r="U20" s="14">
        <f t="shared" si="9"/>
        <v>2</v>
      </c>
      <c r="V20" s="36">
        <f t="shared" si="11"/>
        <v>841.67000000004191</v>
      </c>
      <c r="W20" s="42"/>
    </row>
    <row r="21" spans="2:23" ht="12" customHeight="1" x14ac:dyDescent="0.25">
      <c r="B21" s="15">
        <f t="shared" si="10"/>
        <v>9</v>
      </c>
      <c r="C21" s="16">
        <f>3631+2067</f>
        <v>5698</v>
      </c>
      <c r="D21" s="47">
        <f>2196079.63+1202010.19</f>
        <v>3398089.82</v>
      </c>
      <c r="E21" s="10">
        <f t="shared" si="0"/>
        <v>596.36535977535971</v>
      </c>
      <c r="F21" s="11">
        <f t="shared" si="1"/>
        <v>0.74415567454616693</v>
      </c>
      <c r="G21" s="12">
        <f t="shared" si="6"/>
        <v>116</v>
      </c>
      <c r="H21" s="29">
        <f t="shared" si="7"/>
        <v>870.65724137930829</v>
      </c>
      <c r="I21" s="31"/>
      <c r="J21" s="35">
        <v>2065</v>
      </c>
      <c r="K21" s="46">
        <v>1139533.8500000001</v>
      </c>
      <c r="L21" s="10">
        <f t="shared" si="2"/>
        <v>551.83237288135592</v>
      </c>
      <c r="M21" s="11">
        <f t="shared" si="3"/>
        <v>0.29858299595141702</v>
      </c>
      <c r="N21" s="12">
        <f t="shared" si="8"/>
        <v>40</v>
      </c>
      <c r="O21" s="36">
        <f t="shared" ref="O21:O41" si="12">(K21-K20)/N21</f>
        <v>567.91450000000191</v>
      </c>
      <c r="P21" s="38"/>
      <c r="Q21" s="34">
        <v>1197</v>
      </c>
      <c r="R21" s="48">
        <v>596421.4</v>
      </c>
      <c r="S21" s="60">
        <f t="shared" si="4"/>
        <v>498.26349206349209</v>
      </c>
      <c r="T21" s="11">
        <f t="shared" si="5"/>
        <v>0.15632754342431762</v>
      </c>
      <c r="U21" s="14">
        <f t="shared" si="9"/>
        <v>10</v>
      </c>
      <c r="V21" s="36">
        <f t="shared" si="11"/>
        <v>463.33399999999676</v>
      </c>
      <c r="W21" s="42"/>
    </row>
    <row r="22" spans="2:23" ht="12" customHeight="1" x14ac:dyDescent="0.25">
      <c r="B22" s="15">
        <f t="shared" si="10"/>
        <v>10</v>
      </c>
      <c r="C22" s="16">
        <f>3472+2308</f>
        <v>5780</v>
      </c>
      <c r="D22" s="47">
        <f>2106574.73+1354119.29</f>
        <v>3460694.02</v>
      </c>
      <c r="E22" s="10">
        <f t="shared" si="0"/>
        <v>598.73598961937716</v>
      </c>
      <c r="F22" s="11">
        <f t="shared" si="1"/>
        <v>0.75486482956771583</v>
      </c>
      <c r="G22" s="12">
        <f t="shared" si="6"/>
        <v>82</v>
      </c>
      <c r="H22" s="29">
        <f t="shared" si="7"/>
        <v>763.46585365853889</v>
      </c>
      <c r="I22" s="31"/>
      <c r="J22" s="35">
        <v>2149</v>
      </c>
      <c r="K22" s="46">
        <v>1184083.55</v>
      </c>
      <c r="L22" s="10">
        <f t="shared" si="2"/>
        <v>550.99281060958583</v>
      </c>
      <c r="M22" s="11">
        <f t="shared" si="3"/>
        <v>0.31072874493927127</v>
      </c>
      <c r="N22" s="12">
        <f t="shared" si="8"/>
        <v>84</v>
      </c>
      <c r="O22" s="36">
        <f t="shared" si="12"/>
        <v>530.35357142857083</v>
      </c>
      <c r="P22" s="38"/>
      <c r="Q22" s="34">
        <v>1230</v>
      </c>
      <c r="R22" s="48">
        <v>614663.05000000005</v>
      </c>
      <c r="S22" s="60">
        <f t="shared" si="4"/>
        <v>499.72605691056913</v>
      </c>
      <c r="T22" s="11">
        <f t="shared" si="5"/>
        <v>0.16063732532323363</v>
      </c>
      <c r="U22" s="14">
        <f t="shared" si="9"/>
        <v>33</v>
      </c>
      <c r="V22" s="36">
        <f t="shared" si="11"/>
        <v>552.77727272727338</v>
      </c>
      <c r="W22" s="42"/>
    </row>
    <row r="23" spans="2:23" ht="12" customHeight="1" x14ac:dyDescent="0.25">
      <c r="B23" s="15">
        <f t="shared" si="10"/>
        <v>11</v>
      </c>
      <c r="C23" s="16">
        <f>3388+2503</f>
        <v>5891</v>
      </c>
      <c r="D23" s="47">
        <f>2073692.84+1483501.56</f>
        <v>3557194.4000000004</v>
      </c>
      <c r="E23" s="10">
        <f t="shared" si="0"/>
        <v>603.83540994737746</v>
      </c>
      <c r="F23" s="11">
        <f t="shared" si="1"/>
        <v>0.76936136868225158</v>
      </c>
      <c r="G23" s="12">
        <f t="shared" si="6"/>
        <v>111</v>
      </c>
      <c r="H23" s="29">
        <f t="shared" si="7"/>
        <v>869.37279279279596</v>
      </c>
      <c r="I23" s="31"/>
      <c r="J23" s="35">
        <v>2383</v>
      </c>
      <c r="K23" s="46">
        <v>1319051.07</v>
      </c>
      <c r="L23" s="10">
        <f t="shared" si="2"/>
        <v>553.52541754091487</v>
      </c>
      <c r="M23" s="11">
        <f t="shared" si="3"/>
        <v>0.34456333140543666</v>
      </c>
      <c r="N23" s="12">
        <f t="shared" si="8"/>
        <v>234</v>
      </c>
      <c r="O23" s="36">
        <f t="shared" si="12"/>
        <v>576.78427350427353</v>
      </c>
      <c r="P23" s="38"/>
      <c r="Q23" s="34">
        <v>1386</v>
      </c>
      <c r="R23" s="48">
        <v>691533.22</v>
      </c>
      <c r="S23" s="60">
        <f t="shared" si="4"/>
        <v>498.94171717171713</v>
      </c>
      <c r="T23" s="11">
        <f t="shared" si="5"/>
        <v>0.18101083975447302</v>
      </c>
      <c r="U23" s="14">
        <f t="shared" si="9"/>
        <v>156</v>
      </c>
      <c r="V23" s="36">
        <v>0</v>
      </c>
      <c r="W23" s="42"/>
    </row>
    <row r="24" spans="2:23" ht="12" customHeight="1" x14ac:dyDescent="0.25">
      <c r="B24" s="15">
        <f t="shared" si="10"/>
        <v>12</v>
      </c>
      <c r="C24" s="16">
        <f>3311+2675</f>
        <v>5986</v>
      </c>
      <c r="D24" s="47">
        <f>2040967.57+1597160.92</f>
        <v>3638128.49</v>
      </c>
      <c r="E24" s="10">
        <f t="shared" si="0"/>
        <v>607.77288506515208</v>
      </c>
      <c r="F24" s="11">
        <f t="shared" si="1"/>
        <v>0.78176831657307044</v>
      </c>
      <c r="G24" s="12">
        <f t="shared" si="6"/>
        <v>95</v>
      </c>
      <c r="H24" s="29">
        <f t="shared" si="7"/>
        <v>851.93778947368264</v>
      </c>
      <c r="I24" s="31">
        <v>635.86</v>
      </c>
      <c r="J24" s="35">
        <v>2628</v>
      </c>
      <c r="K24" s="46">
        <v>1463267.03</v>
      </c>
      <c r="L24" s="10">
        <f t="shared" si="2"/>
        <v>556.79871765601217</v>
      </c>
      <c r="M24" s="11">
        <f t="shared" si="3"/>
        <v>0.37998843262001158</v>
      </c>
      <c r="N24" s="12">
        <f t="shared" si="8"/>
        <v>245</v>
      </c>
      <c r="O24" s="36">
        <f t="shared" si="12"/>
        <v>588.6365714285713</v>
      </c>
      <c r="P24" s="38"/>
      <c r="Q24" s="34">
        <v>1420</v>
      </c>
      <c r="R24" s="48">
        <v>718179.07</v>
      </c>
      <c r="S24" s="60">
        <f t="shared" si="4"/>
        <v>505.75990845070419</v>
      </c>
      <c r="T24" s="11">
        <f t="shared" si="5"/>
        <v>0.18545122110487136</v>
      </c>
      <c r="U24" s="14">
        <f t="shared" si="9"/>
        <v>34</v>
      </c>
      <c r="V24" s="36">
        <f t="shared" si="11"/>
        <v>783.70147058823466</v>
      </c>
      <c r="W24" s="42"/>
    </row>
    <row r="25" spans="2:23" ht="12" customHeight="1" x14ac:dyDescent="0.25">
      <c r="B25" s="15">
        <f t="shared" si="10"/>
        <v>13</v>
      </c>
      <c r="C25" s="16">
        <f>3194+2890</f>
        <v>6084</v>
      </c>
      <c r="D25" s="47">
        <f>2008521.3+1735514.43</f>
        <v>3744035.73</v>
      </c>
      <c r="E25" s="10">
        <f t="shared" si="0"/>
        <v>615.39048816568049</v>
      </c>
      <c r="F25" s="11">
        <f t="shared" si="1"/>
        <v>0.79456706281833611</v>
      </c>
      <c r="G25" s="12">
        <f t="shared" si="6"/>
        <v>98</v>
      </c>
      <c r="H25" s="29">
        <f t="shared" si="7"/>
        <v>1080.6861224489771</v>
      </c>
      <c r="I25" s="31"/>
      <c r="J25" s="35">
        <v>2761</v>
      </c>
      <c r="K25" s="46">
        <v>1556223.63</v>
      </c>
      <c r="L25" s="10">
        <f t="shared" si="2"/>
        <v>563.64492212966309</v>
      </c>
      <c r="M25" s="11">
        <f t="shared" si="3"/>
        <v>0.3992192018507808</v>
      </c>
      <c r="N25" s="12">
        <f t="shared" si="8"/>
        <v>133</v>
      </c>
      <c r="O25" s="36">
        <f t="shared" si="12"/>
        <v>698.92180451127717</v>
      </c>
      <c r="P25" s="38"/>
      <c r="Q25" s="34">
        <v>1456</v>
      </c>
      <c r="R25" s="48">
        <v>736253.85</v>
      </c>
      <c r="S25" s="60">
        <f t="shared" si="4"/>
        <v>505.66885302197801</v>
      </c>
      <c r="T25" s="11">
        <f t="shared" si="5"/>
        <v>0.19015280135823429</v>
      </c>
      <c r="U25" s="14">
        <f t="shared" si="9"/>
        <v>36</v>
      </c>
      <c r="V25" s="36">
        <f t="shared" si="11"/>
        <v>502.07722222222299</v>
      </c>
      <c r="W25" s="42"/>
    </row>
    <row r="26" spans="2:23" ht="12" customHeight="1" x14ac:dyDescent="0.25">
      <c r="B26" s="15">
        <f t="shared" si="10"/>
        <v>14</v>
      </c>
      <c r="C26" s="16">
        <f>3082+3088</f>
        <v>6170</v>
      </c>
      <c r="D26" s="47">
        <f>1965445+1864312.73</f>
        <v>3829757.73</v>
      </c>
      <c r="E26" s="10">
        <f t="shared" si="0"/>
        <v>620.70627714748787</v>
      </c>
      <c r="F26" s="11">
        <f t="shared" si="1"/>
        <v>0.80579861564581434</v>
      </c>
      <c r="G26" s="12">
        <f t="shared" si="6"/>
        <v>86</v>
      </c>
      <c r="H26" s="29">
        <f t="shared" si="7"/>
        <v>996.76744186046517</v>
      </c>
      <c r="I26" s="31"/>
      <c r="J26" s="35">
        <v>2816</v>
      </c>
      <c r="K26" s="46">
        <v>1589943.62</v>
      </c>
      <c r="L26" s="10">
        <f t="shared" si="2"/>
        <v>564.61066051136368</v>
      </c>
      <c r="M26" s="11">
        <f t="shared" si="3"/>
        <v>0.40717177559282824</v>
      </c>
      <c r="N26" s="12">
        <f t="shared" si="8"/>
        <v>55</v>
      </c>
      <c r="O26" s="36">
        <f t="shared" si="12"/>
        <v>613.09072727273133</v>
      </c>
      <c r="P26" s="38"/>
      <c r="Q26" s="34">
        <v>1488</v>
      </c>
      <c r="R26" s="48">
        <v>751053.85</v>
      </c>
      <c r="S26" s="60">
        <f t="shared" si="4"/>
        <v>504.74049059139782</v>
      </c>
      <c r="T26" s="11">
        <f t="shared" si="5"/>
        <v>0.19433198380566802</v>
      </c>
      <c r="U26" s="14">
        <f t="shared" si="9"/>
        <v>32</v>
      </c>
      <c r="V26" s="36">
        <f t="shared" si="11"/>
        <v>462.5</v>
      </c>
      <c r="W26" s="42"/>
    </row>
    <row r="27" spans="2:23" ht="12" customHeight="1" x14ac:dyDescent="0.25">
      <c r="B27" s="15">
        <f t="shared" si="10"/>
        <v>15</v>
      </c>
      <c r="C27" s="16">
        <f>3302+2935</f>
        <v>6237</v>
      </c>
      <c r="D27" s="47">
        <f>1911231.37+1996518.98</f>
        <v>3907750.35</v>
      </c>
      <c r="E27" s="10">
        <f t="shared" si="0"/>
        <v>626.543265993266</v>
      </c>
      <c r="F27" s="11">
        <f t="shared" si="1"/>
        <v>0.81454877889512867</v>
      </c>
      <c r="G27" s="12">
        <f t="shared" si="6"/>
        <v>67</v>
      </c>
      <c r="H27" s="29">
        <f t="shared" si="7"/>
        <v>1164.0689552238823</v>
      </c>
      <c r="I27" s="31"/>
      <c r="J27" s="35">
        <v>2979</v>
      </c>
      <c r="K27" s="46">
        <v>1659579.87</v>
      </c>
      <c r="L27" s="10">
        <f t="shared" si="2"/>
        <v>557.09294058408864</v>
      </c>
      <c r="M27" s="11">
        <f t="shared" si="3"/>
        <v>0.43074031231925969</v>
      </c>
      <c r="N27" s="12">
        <f t="shared" si="8"/>
        <v>163</v>
      </c>
      <c r="O27" s="36">
        <f t="shared" si="12"/>
        <v>427.21625766871165</v>
      </c>
      <c r="P27" s="38"/>
      <c r="Q27" s="34">
        <v>1494</v>
      </c>
      <c r="R27" s="48">
        <v>753703.87</v>
      </c>
      <c r="S27" s="60">
        <f t="shared" si="4"/>
        <v>504.48719544846051</v>
      </c>
      <c r="T27" s="11">
        <f t="shared" si="5"/>
        <v>0.19511558051456185</v>
      </c>
      <c r="U27" s="14">
        <f t="shared" si="9"/>
        <v>6</v>
      </c>
      <c r="V27" s="36">
        <f t="shared" si="11"/>
        <v>441.67000000000309</v>
      </c>
      <c r="W27" s="42"/>
    </row>
    <row r="28" spans="2:23" ht="12" customHeight="1" x14ac:dyDescent="0.25">
      <c r="B28" s="15">
        <f t="shared" si="10"/>
        <v>16</v>
      </c>
      <c r="C28" s="16">
        <f>2783+3527</f>
        <v>6310</v>
      </c>
      <c r="D28" s="47">
        <f>1811926.42+2150758.46</f>
        <v>3962684.88</v>
      </c>
      <c r="E28" s="10">
        <f t="shared" si="0"/>
        <v>628.00077337559424</v>
      </c>
      <c r="F28" s="11">
        <f t="shared" si="1"/>
        <v>0.82408253885333682</v>
      </c>
      <c r="G28" s="12">
        <f t="shared" si="6"/>
        <v>73</v>
      </c>
      <c r="H28" s="29">
        <f t="shared" si="7"/>
        <v>752.52780821917531</v>
      </c>
      <c r="I28" s="31"/>
      <c r="J28" s="35">
        <v>3087</v>
      </c>
      <c r="K28" s="46">
        <v>1738463.21</v>
      </c>
      <c r="L28" s="10">
        <f t="shared" si="2"/>
        <v>563.15620667314545</v>
      </c>
      <c r="M28" s="11">
        <f t="shared" si="3"/>
        <v>0.44635627530364375</v>
      </c>
      <c r="N28" s="12">
        <f t="shared" si="8"/>
        <v>108</v>
      </c>
      <c r="O28" s="36">
        <f t="shared" si="12"/>
        <v>730.40129629629496</v>
      </c>
      <c r="P28" s="38"/>
      <c r="Q28" s="34">
        <v>1517</v>
      </c>
      <c r="R28" s="48">
        <v>765470.59</v>
      </c>
      <c r="S28" s="60">
        <f t="shared" si="4"/>
        <v>504.59498352010547</v>
      </c>
      <c r="T28" s="11">
        <f t="shared" si="5"/>
        <v>0.19811936789865484</v>
      </c>
      <c r="U28" s="14">
        <f t="shared" si="9"/>
        <v>23</v>
      </c>
      <c r="V28" s="36">
        <f t="shared" si="11"/>
        <v>511.59652173912923</v>
      </c>
      <c r="W28" s="42"/>
    </row>
    <row r="29" spans="2:23" ht="12" customHeight="1" x14ac:dyDescent="0.25">
      <c r="B29" s="15">
        <f t="shared" si="10"/>
        <v>17</v>
      </c>
      <c r="C29" s="16">
        <f>2526+3765</f>
        <v>6291</v>
      </c>
      <c r="D29" s="62">
        <f>1676067.47+2314066.33</f>
        <v>3990133.8</v>
      </c>
      <c r="E29" s="10">
        <f t="shared" si="0"/>
        <v>634.26065808297562</v>
      </c>
      <c r="F29" s="11">
        <f t="shared" si="1"/>
        <v>0.82160114927517303</v>
      </c>
      <c r="G29" s="12">
        <f t="shared" si="6"/>
        <v>-19</v>
      </c>
      <c r="H29" s="29">
        <f t="shared" si="7"/>
        <v>-1444.679999999996</v>
      </c>
      <c r="I29" s="31"/>
      <c r="J29" s="35">
        <v>3284</v>
      </c>
      <c r="K29" s="46">
        <v>1844972.92</v>
      </c>
      <c r="L29" s="10">
        <f t="shared" si="2"/>
        <v>561.8066138855055</v>
      </c>
      <c r="M29" s="11">
        <f t="shared" si="3"/>
        <v>0.47484094852515907</v>
      </c>
      <c r="N29" s="12">
        <f t="shared" si="8"/>
        <v>197</v>
      </c>
      <c r="O29" s="36">
        <f t="shared" si="12"/>
        <v>540.65842639593893</v>
      </c>
      <c r="P29" s="38"/>
      <c r="Q29" s="34">
        <v>1568</v>
      </c>
      <c r="R29" s="48">
        <v>785615.6</v>
      </c>
      <c r="S29" s="60">
        <f t="shared" si="4"/>
        <v>501.03035714285716</v>
      </c>
      <c r="T29" s="11">
        <f t="shared" si="5"/>
        <v>0.20477993992425231</v>
      </c>
      <c r="U29" s="14">
        <f t="shared" si="9"/>
        <v>51</v>
      </c>
      <c r="V29" s="36">
        <f t="shared" si="11"/>
        <v>395.00019607843154</v>
      </c>
      <c r="W29" s="42"/>
    </row>
    <row r="30" spans="2:23" ht="12" customHeight="1" x14ac:dyDescent="0.25">
      <c r="B30" s="15">
        <f t="shared" si="10"/>
        <v>18</v>
      </c>
      <c r="C30" s="16">
        <f>2405+3956</f>
        <v>6361</v>
      </c>
      <c r="D30" s="63">
        <f>1646857.01+2454828.21</f>
        <v>4101685.2199999997</v>
      </c>
      <c r="E30" s="10">
        <f t="shared" si="0"/>
        <v>644.8176733218047</v>
      </c>
      <c r="F30" s="11">
        <f t="shared" si="1"/>
        <v>0.83074311087893427</v>
      </c>
      <c r="G30" s="12">
        <f t="shared" si="6"/>
        <v>70</v>
      </c>
      <c r="H30" s="29">
        <f t="shared" si="7"/>
        <v>1593.5917142857131</v>
      </c>
      <c r="I30" s="31"/>
      <c r="J30" s="35">
        <v>3352</v>
      </c>
      <c r="K30" s="46">
        <v>1900737.26</v>
      </c>
      <c r="L30" s="10">
        <f t="shared" si="2"/>
        <v>567.04572195704054</v>
      </c>
      <c r="M30" s="11">
        <f t="shared" si="3"/>
        <v>0.48467322151532677</v>
      </c>
      <c r="N30" s="12">
        <f t="shared" si="8"/>
        <v>68</v>
      </c>
      <c r="O30" s="36">
        <f t="shared" si="12"/>
        <v>820.06382352941296</v>
      </c>
      <c r="P30" s="38"/>
      <c r="Q30" s="34">
        <v>1601</v>
      </c>
      <c r="R30" s="48">
        <v>809480.63</v>
      </c>
      <c r="S30" s="60">
        <f t="shared" si="4"/>
        <v>505.6093878825734</v>
      </c>
      <c r="T30" s="11">
        <f t="shared" si="5"/>
        <v>0.20908972182316835</v>
      </c>
      <c r="U30" s="14">
        <f t="shared" si="9"/>
        <v>33</v>
      </c>
      <c r="V30" s="36">
        <f t="shared" si="11"/>
        <v>723.18272727272813</v>
      </c>
      <c r="W30" s="42"/>
    </row>
    <row r="31" spans="2:23" ht="12" customHeight="1" x14ac:dyDescent="0.25">
      <c r="B31" s="15">
        <f t="shared" si="10"/>
        <v>19</v>
      </c>
      <c r="C31" s="16">
        <f>2301+4138</f>
        <v>6439</v>
      </c>
      <c r="D31" s="63">
        <f>1579682.37+2581867.31</f>
        <v>4161549.68</v>
      </c>
      <c r="E31" s="10">
        <f t="shared" si="0"/>
        <v>646.30372418077343</v>
      </c>
      <c r="F31" s="11">
        <f t="shared" si="1"/>
        <v>0.84092986809455406</v>
      </c>
      <c r="G31" s="12">
        <f t="shared" si="6"/>
        <v>78</v>
      </c>
      <c r="H31" s="29">
        <f t="shared" si="7"/>
        <v>767.49307692308241</v>
      </c>
      <c r="I31" s="31"/>
      <c r="J31" s="35">
        <v>3374</v>
      </c>
      <c r="K31" s="46">
        <v>1919785.95</v>
      </c>
      <c r="L31" s="10">
        <f t="shared" si="2"/>
        <v>568.99405749851803</v>
      </c>
      <c r="M31" s="11">
        <f t="shared" si="3"/>
        <v>0.48785425101214575</v>
      </c>
      <c r="N31" s="12">
        <f t="shared" si="8"/>
        <v>22</v>
      </c>
      <c r="O31" s="36">
        <f t="shared" si="12"/>
        <v>865.84954545454286</v>
      </c>
      <c r="P31" s="38"/>
      <c r="Q31" s="34">
        <v>1654</v>
      </c>
      <c r="R31" s="48">
        <v>812816.78</v>
      </c>
      <c r="S31" s="60">
        <f t="shared" si="4"/>
        <v>491.42489721886335</v>
      </c>
      <c r="T31" s="11">
        <f t="shared" si="5"/>
        <v>0.21601149275173046</v>
      </c>
      <c r="U31" s="14">
        <f t="shared" si="9"/>
        <v>53</v>
      </c>
      <c r="V31" s="36">
        <f t="shared" si="11"/>
        <v>62.946226415094777</v>
      </c>
      <c r="W31" s="42"/>
    </row>
    <row r="32" spans="2:23" ht="12" customHeight="1" x14ac:dyDescent="0.25">
      <c r="B32" s="15">
        <f t="shared" si="10"/>
        <v>20</v>
      </c>
      <c r="C32" s="16">
        <v>6431</v>
      </c>
      <c r="D32" s="61">
        <v>4176248.7</v>
      </c>
      <c r="E32" s="10">
        <f t="shared" si="0"/>
        <v>649.39336028611422</v>
      </c>
      <c r="F32" s="11">
        <f t="shared" si="1"/>
        <v>0.83988507248269562</v>
      </c>
      <c r="G32" s="12">
        <f t="shared" si="6"/>
        <v>-8</v>
      </c>
      <c r="H32" s="29">
        <f t="shared" si="7"/>
        <v>-1837.3775000000023</v>
      </c>
      <c r="I32" s="31"/>
      <c r="J32" s="35">
        <v>3475</v>
      </c>
      <c r="K32" s="46">
        <v>1990882.63</v>
      </c>
      <c r="L32" s="10">
        <f t="shared" si="2"/>
        <v>572.91586474820144</v>
      </c>
      <c r="M32" s="11">
        <f t="shared" si="3"/>
        <v>0.50245806824754191</v>
      </c>
      <c r="N32" s="12">
        <f t="shared" si="8"/>
        <v>101</v>
      </c>
      <c r="O32" s="36">
        <f t="shared" si="12"/>
        <v>703.9275247524746</v>
      </c>
      <c r="P32" s="38"/>
      <c r="Q32" s="34">
        <v>1707</v>
      </c>
      <c r="R32" s="48">
        <v>839555.59</v>
      </c>
      <c r="S32" s="60">
        <f t="shared" si="4"/>
        <v>491.83104276508493</v>
      </c>
      <c r="T32" s="11">
        <f t="shared" si="5"/>
        <v>0.22293326368029254</v>
      </c>
      <c r="U32" s="14">
        <f t="shared" si="9"/>
        <v>53</v>
      </c>
      <c r="V32" s="36">
        <f t="shared" si="11"/>
        <v>504.50584905660264</v>
      </c>
      <c r="W32" s="42"/>
    </row>
    <row r="33" spans="2:23" ht="12" customHeight="1" x14ac:dyDescent="0.25">
      <c r="B33" s="15">
        <f t="shared" si="10"/>
        <v>21</v>
      </c>
      <c r="C33" s="16">
        <f>1905+4505</f>
        <v>6410</v>
      </c>
      <c r="D33" s="47">
        <f>1347627.03+2846392.07</f>
        <v>4194019.0999999996</v>
      </c>
      <c r="E33" s="10">
        <f t="shared" si="0"/>
        <v>654.29315132605302</v>
      </c>
      <c r="F33" s="11">
        <f t="shared" si="1"/>
        <v>0.83714248400156721</v>
      </c>
      <c r="G33" s="12">
        <f t="shared" ref="G33:G43" si="13">(C33-C32)</f>
        <v>-21</v>
      </c>
      <c r="H33" s="29">
        <f t="shared" si="7"/>
        <v>-846.20952380949723</v>
      </c>
      <c r="I33" s="31"/>
      <c r="J33" s="35">
        <v>3486</v>
      </c>
      <c r="K33" s="46">
        <v>2000489.36</v>
      </c>
      <c r="L33" s="10">
        <f t="shared" si="2"/>
        <v>573.86384394721745</v>
      </c>
      <c r="M33" s="11">
        <f t="shared" si="3"/>
        <v>0.50404858299595146</v>
      </c>
      <c r="N33" s="12">
        <f t="shared" si="8"/>
        <v>11</v>
      </c>
      <c r="O33" s="36">
        <f t="shared" si="12"/>
        <v>873.33909090911038</v>
      </c>
      <c r="P33" s="38"/>
      <c r="Q33" s="34">
        <v>1707</v>
      </c>
      <c r="R33" s="48">
        <v>839555.59</v>
      </c>
      <c r="S33" s="60">
        <f t="shared" si="4"/>
        <v>491.83104276508493</v>
      </c>
      <c r="T33" s="11">
        <f t="shared" si="5"/>
        <v>0.22293326368029254</v>
      </c>
      <c r="U33" s="14">
        <f t="shared" si="9"/>
        <v>0</v>
      </c>
      <c r="V33" s="36" t="e">
        <f t="shared" si="11"/>
        <v>#DIV/0!</v>
      </c>
      <c r="W33" s="42"/>
    </row>
    <row r="34" spans="2:23" ht="12" customHeight="1" x14ac:dyDescent="0.25">
      <c r="B34" s="15">
        <f t="shared" si="10"/>
        <v>22</v>
      </c>
      <c r="C34" s="16">
        <f>1647+4726</f>
        <v>6373</v>
      </c>
      <c r="D34" s="47">
        <f>3018444.46+1170031.99</f>
        <v>4188476.45</v>
      </c>
      <c r="E34" s="10">
        <f t="shared" si="0"/>
        <v>657.22210105131023</v>
      </c>
      <c r="F34" s="11">
        <f t="shared" si="1"/>
        <v>0.83231030429672193</v>
      </c>
      <c r="G34" s="12">
        <f t="shared" si="13"/>
        <v>-37</v>
      </c>
      <c r="H34" s="29">
        <f t="shared" si="7"/>
        <v>149.80135135133625</v>
      </c>
      <c r="I34" s="31"/>
      <c r="J34" s="35">
        <v>3511</v>
      </c>
      <c r="K34" s="46">
        <v>2020031.08</v>
      </c>
      <c r="L34" s="10">
        <f t="shared" si="2"/>
        <v>575.34351466818578</v>
      </c>
      <c r="M34" s="11">
        <f t="shared" si="3"/>
        <v>0.50766338924233656</v>
      </c>
      <c r="N34" s="12">
        <f t="shared" si="8"/>
        <v>25</v>
      </c>
      <c r="O34" s="36">
        <f t="shared" si="12"/>
        <v>781.6687999999989</v>
      </c>
      <c r="P34" s="38"/>
      <c r="Q34" s="34">
        <v>1723</v>
      </c>
      <c r="R34" s="48">
        <v>847597.27</v>
      </c>
      <c r="S34" s="60">
        <f t="shared" si="4"/>
        <v>491.93109112013929</v>
      </c>
      <c r="T34" s="11">
        <f t="shared" si="5"/>
        <v>0.22502285490400939</v>
      </c>
      <c r="U34" s="14">
        <f t="shared" si="9"/>
        <v>16</v>
      </c>
      <c r="V34" s="36">
        <f t="shared" si="11"/>
        <v>502.6050000000032</v>
      </c>
      <c r="W34" s="42"/>
    </row>
    <row r="35" spans="2:23" ht="12" customHeight="1" x14ac:dyDescent="0.25">
      <c r="B35" s="15">
        <f t="shared" si="10"/>
        <v>23</v>
      </c>
      <c r="C35" s="16">
        <f>1480+4959</f>
        <v>6439</v>
      </c>
      <c r="D35" s="47">
        <f>1044830.95+3225187.75</f>
        <v>4270018.7</v>
      </c>
      <c r="E35" s="10">
        <f t="shared" si="0"/>
        <v>663.1493554899829</v>
      </c>
      <c r="F35" s="11">
        <f t="shared" si="1"/>
        <v>0.84092986809455406</v>
      </c>
      <c r="G35" s="12">
        <f t="shared" si="13"/>
        <v>66</v>
      </c>
      <c r="H35" s="29">
        <f t="shared" si="7"/>
        <v>1235.4886363636363</v>
      </c>
      <c r="I35" s="31"/>
      <c r="J35" s="35">
        <v>3795</v>
      </c>
      <c r="K35" s="46">
        <v>2203041.17</v>
      </c>
      <c r="L35" s="10">
        <f t="shared" si="2"/>
        <v>580.51150724637682</v>
      </c>
      <c r="M35" s="11">
        <f t="shared" si="3"/>
        <v>0.54872758820127243</v>
      </c>
      <c r="N35" s="12">
        <f t="shared" si="8"/>
        <v>284</v>
      </c>
      <c r="O35" s="36">
        <f t="shared" si="12"/>
        <v>644.40172535211218</v>
      </c>
      <c r="P35" s="38"/>
      <c r="Q35" s="34">
        <v>1761</v>
      </c>
      <c r="R35" s="48">
        <v>873397.29</v>
      </c>
      <c r="S35" s="60">
        <f t="shared" si="4"/>
        <v>495.96666098807498</v>
      </c>
      <c r="T35" s="11">
        <f t="shared" si="5"/>
        <v>0.22998563406033695</v>
      </c>
      <c r="U35" s="14">
        <f t="shared" si="9"/>
        <v>38</v>
      </c>
      <c r="V35" s="36">
        <f t="shared" si="11"/>
        <v>678.94789473684261</v>
      </c>
      <c r="W35" s="42"/>
    </row>
    <row r="36" spans="2:23" ht="12" customHeight="1" x14ac:dyDescent="0.25">
      <c r="B36" s="15">
        <f t="shared" si="10"/>
        <v>24</v>
      </c>
      <c r="C36" s="16">
        <f>1330+5201</f>
        <v>6531</v>
      </c>
      <c r="D36" s="47">
        <f>929397.91+3439162.43</f>
        <v>4368560.34</v>
      </c>
      <c r="E36" s="10">
        <f t="shared" si="0"/>
        <v>668.8960863573725</v>
      </c>
      <c r="F36" s="11">
        <f t="shared" si="1"/>
        <v>0.85294501763092589</v>
      </c>
      <c r="G36" s="12">
        <f t="shared" si="13"/>
        <v>92</v>
      </c>
      <c r="H36" s="29">
        <f t="shared" si="7"/>
        <v>1071.1047826086919</v>
      </c>
      <c r="I36" s="31"/>
      <c r="J36" s="35">
        <v>3894</v>
      </c>
      <c r="K36" s="46">
        <v>2271024.48</v>
      </c>
      <c r="L36" s="10">
        <f t="shared" si="2"/>
        <v>583.21121725731894</v>
      </c>
      <c r="M36" s="11">
        <f t="shared" si="3"/>
        <v>0.56304222093695777</v>
      </c>
      <c r="N36" s="12">
        <f t="shared" si="8"/>
        <v>99</v>
      </c>
      <c r="O36" s="36">
        <f t="shared" si="12"/>
        <v>686.70010101010155</v>
      </c>
      <c r="P36" s="38"/>
      <c r="Q36" s="34">
        <v>1808</v>
      </c>
      <c r="R36" s="48">
        <v>897837.4</v>
      </c>
      <c r="S36" s="60">
        <f t="shared" si="4"/>
        <v>496.59148230088499</v>
      </c>
      <c r="T36" s="11">
        <f t="shared" si="5"/>
        <v>0.23612380828000523</v>
      </c>
      <c r="U36" s="14">
        <f t="shared" si="9"/>
        <v>47</v>
      </c>
      <c r="V36" s="36">
        <f t="shared" si="11"/>
        <v>520.00234042553166</v>
      </c>
      <c r="W36" s="42"/>
    </row>
    <row r="37" spans="2:23" ht="12" customHeight="1" x14ac:dyDescent="0.25">
      <c r="B37" s="15">
        <f t="shared" si="10"/>
        <v>25</v>
      </c>
      <c r="C37" s="16">
        <f>1120+5446</f>
        <v>6566</v>
      </c>
      <c r="D37" s="47">
        <f>770559.42+3661595.81</f>
        <v>4432155.2300000004</v>
      </c>
      <c r="E37" s="10">
        <f t="shared" si="0"/>
        <v>675.01602650015241</v>
      </c>
      <c r="F37" s="11">
        <f t="shared" si="1"/>
        <v>0.85751599843280657</v>
      </c>
      <c r="G37" s="12">
        <f t="shared" si="13"/>
        <v>35</v>
      </c>
      <c r="H37" s="29">
        <f t="shared" si="7"/>
        <v>1816.9968571428742</v>
      </c>
      <c r="I37" s="31"/>
      <c r="J37" s="35">
        <v>4005</v>
      </c>
      <c r="K37" s="46">
        <v>2341015.87</v>
      </c>
      <c r="L37" s="10">
        <f t="shared" si="2"/>
        <v>584.52331335830218</v>
      </c>
      <c r="M37" s="11">
        <f t="shared" si="3"/>
        <v>0.57909196067090807</v>
      </c>
      <c r="N37" s="12">
        <f t="shared" si="8"/>
        <v>111</v>
      </c>
      <c r="O37" s="36">
        <f t="shared" si="12"/>
        <v>630.5530630630642</v>
      </c>
      <c r="P37" s="38"/>
      <c r="Q37" s="34">
        <v>1865</v>
      </c>
      <c r="R37" s="48">
        <v>927162.47</v>
      </c>
      <c r="S37" s="60">
        <f t="shared" si="4"/>
        <v>497.13805361930292</v>
      </c>
      <c r="T37" s="11">
        <f t="shared" si="5"/>
        <v>0.24356797701449653</v>
      </c>
      <c r="U37" s="14">
        <f t="shared" si="9"/>
        <v>57</v>
      </c>
      <c r="V37" s="36">
        <f t="shared" si="11"/>
        <v>514.47491228070089</v>
      </c>
      <c r="W37" s="42"/>
    </row>
    <row r="38" spans="2:23" ht="12" customHeight="1" x14ac:dyDescent="0.25">
      <c r="B38" s="15">
        <f t="shared" si="10"/>
        <v>26</v>
      </c>
      <c r="C38" s="16">
        <f>962+5693</f>
        <v>6655</v>
      </c>
      <c r="D38" s="47">
        <f>621076.62+3887435.63</f>
        <v>4508512.25</v>
      </c>
      <c r="E38" s="10">
        <f t="shared" si="0"/>
        <v>677.46239669421493</v>
      </c>
      <c r="F38" s="11">
        <f t="shared" si="1"/>
        <v>0.8691393496147316</v>
      </c>
      <c r="G38" s="12">
        <f t="shared" si="13"/>
        <v>89</v>
      </c>
      <c r="H38" s="36">
        <f t="shared" si="7"/>
        <v>857.94404494381524</v>
      </c>
      <c r="I38" s="31"/>
      <c r="J38" s="35">
        <v>4118</v>
      </c>
      <c r="K38" s="46">
        <v>2409937.88</v>
      </c>
      <c r="L38" s="10">
        <f t="shared" si="2"/>
        <v>585.22046624575034</v>
      </c>
      <c r="M38" s="11">
        <f t="shared" si="3"/>
        <v>0.59543088490456908</v>
      </c>
      <c r="N38" s="12">
        <f t="shared" si="8"/>
        <v>113</v>
      </c>
      <c r="O38" s="36">
        <f t="shared" si="12"/>
        <v>609.9292920353962</v>
      </c>
      <c r="P38" s="38"/>
      <c r="Q38" s="34">
        <v>1863</v>
      </c>
      <c r="R38" s="48">
        <v>927800.78</v>
      </c>
      <c r="S38" s="60">
        <f t="shared" si="4"/>
        <v>498.01437466451961</v>
      </c>
      <c r="T38" s="11">
        <f t="shared" si="5"/>
        <v>0.24330677811153192</v>
      </c>
      <c r="U38" s="14">
        <f t="shared" si="9"/>
        <v>-2</v>
      </c>
      <c r="V38" s="36">
        <f t="shared" si="11"/>
        <v>-319.15500000002794</v>
      </c>
      <c r="W38" s="42"/>
    </row>
    <row r="39" spans="2:23" ht="12" customHeight="1" x14ac:dyDescent="0.25">
      <c r="B39" s="15">
        <f t="shared" si="10"/>
        <v>27</v>
      </c>
      <c r="C39" s="16">
        <f>753+5904</f>
        <v>6657</v>
      </c>
      <c r="D39" s="47">
        <f>465524.32+4095616.27</f>
        <v>4561140.59</v>
      </c>
      <c r="E39" s="10">
        <f t="shared" si="0"/>
        <v>685.16457713684838</v>
      </c>
      <c r="F39" s="11">
        <f t="shared" si="1"/>
        <v>0.86940054851769621</v>
      </c>
      <c r="G39" s="12">
        <f t="shared" si="13"/>
        <v>2</v>
      </c>
      <c r="H39" s="36">
        <f t="shared" si="7"/>
        <v>26314.169999999925</v>
      </c>
      <c r="I39" s="31"/>
      <c r="J39" s="35">
        <v>4132</v>
      </c>
      <c r="K39" s="46">
        <v>2405888.7400000002</v>
      </c>
      <c r="L39" s="10">
        <f t="shared" si="2"/>
        <v>582.25768151016462</v>
      </c>
      <c r="M39" s="11">
        <f t="shared" si="3"/>
        <v>0.59745517640254486</v>
      </c>
      <c r="N39" s="12">
        <f t="shared" si="8"/>
        <v>14</v>
      </c>
      <c r="O39" s="36">
        <f>(K39-K38)/N39</f>
        <v>-289.22428571426178</v>
      </c>
      <c r="P39" s="38"/>
      <c r="Q39" s="34">
        <v>1883</v>
      </c>
      <c r="R39" s="48">
        <v>940859.13</v>
      </c>
      <c r="S39" s="60">
        <f t="shared" si="4"/>
        <v>499.6596548061604</v>
      </c>
      <c r="T39" s="11">
        <f t="shared" si="5"/>
        <v>0.245918767141178</v>
      </c>
      <c r="U39" s="14">
        <f t="shared" si="9"/>
        <v>20</v>
      </c>
      <c r="V39" s="36">
        <f>(R39-R38)/-U39</f>
        <v>-652.91749999999888</v>
      </c>
      <c r="W39" s="42"/>
    </row>
    <row r="40" spans="2:23" ht="12" customHeight="1" x14ac:dyDescent="0.25">
      <c r="B40" s="15">
        <f t="shared" si="10"/>
        <v>28</v>
      </c>
      <c r="C40" s="16">
        <f>569+6089</f>
        <v>6658</v>
      </c>
      <c r="D40" s="47">
        <f>352159.43+4230705.05</f>
        <v>4582864.4799999995</v>
      </c>
      <c r="E40" s="10">
        <f t="shared" si="0"/>
        <v>688.32449384199447</v>
      </c>
      <c r="F40" s="11">
        <f t="shared" si="1"/>
        <v>0.86953114796917852</v>
      </c>
      <c r="G40" s="12">
        <f t="shared" si="13"/>
        <v>1</v>
      </c>
      <c r="H40" s="36">
        <f t="shared" si="7"/>
        <v>21723.889999999665</v>
      </c>
      <c r="I40" s="31"/>
      <c r="J40" s="35">
        <v>4177</v>
      </c>
      <c r="K40" s="46">
        <v>2441550.08</v>
      </c>
      <c r="L40" s="10">
        <f t="shared" si="2"/>
        <v>584.52240363897533</v>
      </c>
      <c r="M40" s="11">
        <f t="shared" si="3"/>
        <v>0.60396182764603812</v>
      </c>
      <c r="N40" s="12">
        <f t="shared" si="8"/>
        <v>45</v>
      </c>
      <c r="O40" s="36">
        <f t="shared" si="12"/>
        <v>792.47422222221894</v>
      </c>
      <c r="P40" s="38"/>
      <c r="Q40" s="34">
        <v>1887</v>
      </c>
      <c r="R40" s="48">
        <v>943809.1</v>
      </c>
      <c r="S40" s="60">
        <f t="shared" si="4"/>
        <v>500.16380498145202</v>
      </c>
      <c r="T40" s="11">
        <f t="shared" si="5"/>
        <v>0.24644116494710722</v>
      </c>
      <c r="U40" s="14">
        <f t="shared" si="9"/>
        <v>4</v>
      </c>
      <c r="V40" s="36">
        <f>(R40-R39)/-U40</f>
        <v>-737.49249999999302</v>
      </c>
      <c r="W40" s="42"/>
    </row>
    <row r="41" spans="2:23" ht="12" customHeight="1" x14ac:dyDescent="0.25">
      <c r="B41" s="15">
        <f t="shared" si="10"/>
        <v>29</v>
      </c>
      <c r="C41" s="16">
        <f>6268+395</f>
        <v>6663</v>
      </c>
      <c r="D41" s="47">
        <f>4352903.14+244308.85</f>
        <v>4597211.9899999993</v>
      </c>
      <c r="E41" s="10">
        <f t="shared" si="0"/>
        <v>689.96127720246125</v>
      </c>
      <c r="F41" s="11">
        <f t="shared" si="1"/>
        <v>0.87018414522659004</v>
      </c>
      <c r="G41" s="12">
        <f t="shared" si="13"/>
        <v>5</v>
      </c>
      <c r="H41" s="29">
        <f t="shared" si="7"/>
        <v>2869.5019999999554</v>
      </c>
      <c r="I41" s="31">
        <v>0</v>
      </c>
      <c r="J41" s="35">
        <v>4214</v>
      </c>
      <c r="K41" s="46">
        <v>2471883.0699999998</v>
      </c>
      <c r="L41" s="10">
        <f t="shared" si="2"/>
        <v>586.58829378262931</v>
      </c>
      <c r="M41" s="11">
        <f t="shared" si="3"/>
        <v>0.60931174089068829</v>
      </c>
      <c r="N41" s="12">
        <f t="shared" si="8"/>
        <v>37</v>
      </c>
      <c r="O41" s="36">
        <f t="shared" si="12"/>
        <v>819.81054054053402</v>
      </c>
      <c r="P41" s="38"/>
      <c r="Q41" s="34">
        <v>1925</v>
      </c>
      <c r="R41" s="48">
        <v>964239.1</v>
      </c>
      <c r="S41" s="60">
        <f t="shared" si="4"/>
        <v>500.90342857142855</v>
      </c>
      <c r="T41" s="11">
        <f t="shared" si="5"/>
        <v>0.25140394410343475</v>
      </c>
      <c r="U41" s="14">
        <f t="shared" si="9"/>
        <v>38</v>
      </c>
      <c r="V41" s="36">
        <f>(R41-R40)/U41</f>
        <v>537.63157894736844</v>
      </c>
      <c r="W41" s="42"/>
    </row>
    <row r="42" spans="2:23" ht="12" customHeight="1" x14ac:dyDescent="0.25">
      <c r="B42" s="15">
        <v>30</v>
      </c>
      <c r="C42" s="16">
        <f>6452+216</f>
        <v>6668</v>
      </c>
      <c r="D42" s="47">
        <f>136204.15+4480391.43</f>
        <v>4616595.58</v>
      </c>
      <c r="E42" s="10">
        <f t="shared" si="0"/>
        <v>692.35086682663473</v>
      </c>
      <c r="F42" s="11">
        <f t="shared" si="1"/>
        <v>0.87083714248400157</v>
      </c>
      <c r="G42" s="12">
        <f t="shared" si="13"/>
        <v>5</v>
      </c>
      <c r="H42" s="29">
        <f t="shared" si="7"/>
        <v>3876.7180000001563</v>
      </c>
      <c r="I42" s="31"/>
      <c r="J42" s="35"/>
      <c r="K42" s="46"/>
      <c r="L42" s="10"/>
      <c r="M42" s="11"/>
      <c r="N42" s="12"/>
      <c r="O42" s="36"/>
      <c r="P42" s="38"/>
      <c r="Q42" s="34">
        <v>2078</v>
      </c>
      <c r="R42" s="48">
        <v>1049836.6399999999</v>
      </c>
      <c r="S42" s="60">
        <f t="shared" si="4"/>
        <v>505.21493743984598</v>
      </c>
      <c r="T42" s="11">
        <f t="shared" si="5"/>
        <v>0.27138566018022725</v>
      </c>
      <c r="U42" s="14">
        <f t="shared" si="9"/>
        <v>153</v>
      </c>
      <c r="V42" s="36">
        <f>(R42-R41)/U42</f>
        <v>559.46104575163349</v>
      </c>
      <c r="W42" s="42"/>
    </row>
    <row r="43" spans="2:23" ht="11.25" customHeight="1" thickBot="1" x14ac:dyDescent="0.3">
      <c r="B43" s="17">
        <v>31</v>
      </c>
      <c r="C43" s="18">
        <v>6676</v>
      </c>
      <c r="D43" s="49">
        <v>4638873.4000000004</v>
      </c>
      <c r="E43" s="19">
        <f t="shared" si="0"/>
        <v>694.85820850808875</v>
      </c>
      <c r="F43" s="20">
        <f t="shared" si="1"/>
        <v>0.87188193809586001</v>
      </c>
      <c r="G43" s="89">
        <f t="shared" si="13"/>
        <v>8</v>
      </c>
      <c r="H43" s="90">
        <f t="shared" si="7"/>
        <v>2784.7275000000373</v>
      </c>
      <c r="I43" s="32"/>
      <c r="J43" s="37"/>
      <c r="K43" s="50"/>
      <c r="L43" s="19"/>
      <c r="M43" s="20"/>
      <c r="N43" s="89"/>
      <c r="O43" s="91"/>
      <c r="P43" s="39"/>
      <c r="Q43" s="37">
        <v>2003</v>
      </c>
      <c r="R43" s="51">
        <v>1015732.52</v>
      </c>
      <c r="S43" s="92">
        <f t="shared" si="4"/>
        <v>507.1056015976036</v>
      </c>
      <c r="T43" s="20">
        <f t="shared" si="5"/>
        <v>0.26159070131905449</v>
      </c>
      <c r="U43" s="93">
        <f t="shared" si="9"/>
        <v>-75</v>
      </c>
      <c r="V43" s="91">
        <f>(R43-R42)/U43</f>
        <v>454.72159999999838</v>
      </c>
      <c r="W43" s="43"/>
    </row>
    <row r="44" spans="2:23" hidden="1" x14ac:dyDescent="0.25">
      <c r="B44" s="21"/>
      <c r="C44" s="21"/>
      <c r="D44" s="21"/>
      <c r="E44" s="21"/>
      <c r="F44" s="21"/>
      <c r="G44" s="21"/>
      <c r="H44" s="21"/>
    </row>
  </sheetData>
  <mergeCells count="12">
    <mergeCell ref="B10:V10"/>
    <mergeCell ref="N2:Q2"/>
    <mergeCell ref="N3:Q3"/>
    <mergeCell ref="R2:V2"/>
    <mergeCell ref="R3:V3"/>
    <mergeCell ref="B5:W5"/>
    <mergeCell ref="B6:H6"/>
    <mergeCell ref="J6:O6"/>
    <mergeCell ref="Q6:V6"/>
    <mergeCell ref="F8:G8"/>
    <mergeCell ref="M8:N8"/>
    <mergeCell ref="T8:U8"/>
  </mergeCells>
  <phoneticPr fontId="0" type="noConversion"/>
  <pageMargins left="0.5" right="0.39" top="0.15" bottom="0.18" header="0.5" footer="0.5"/>
  <pageSetup scale="9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opLeftCell="B1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7.710937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1" spans="1:25" ht="33.75" customHeight="1" x14ac:dyDescent="0.25"/>
    <row r="2" spans="1:25" ht="20.25" customHeight="1" x14ac:dyDescent="0.25"/>
    <row r="3" spans="1:25" ht="15" customHeight="1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22</v>
      </c>
      <c r="C6" s="139"/>
      <c r="D6" s="139"/>
      <c r="E6" s="139"/>
      <c r="F6" s="139"/>
      <c r="G6" s="139"/>
      <c r="H6" s="140"/>
      <c r="I6" s="104"/>
      <c r="J6" s="138" t="s">
        <v>23</v>
      </c>
      <c r="K6" s="139"/>
      <c r="L6" s="139"/>
      <c r="M6" s="139"/>
      <c r="N6" s="139"/>
      <c r="O6" s="140"/>
      <c r="P6" s="104"/>
      <c r="Q6" s="141" t="s">
        <v>14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6765</v>
      </c>
      <c r="F7" s="25"/>
      <c r="G7" s="13" t="s">
        <v>6</v>
      </c>
      <c r="H7" s="58">
        <v>675.91</v>
      </c>
      <c r="I7" s="4"/>
      <c r="J7" s="24" t="s">
        <v>12</v>
      </c>
      <c r="K7" s="76"/>
      <c r="L7" s="13">
        <v>5805</v>
      </c>
      <c r="M7" s="25"/>
      <c r="N7" s="13" t="s">
        <v>6</v>
      </c>
      <c r="O7" s="58">
        <v>657.06</v>
      </c>
      <c r="P7" s="66"/>
      <c r="Q7" s="24" t="s">
        <v>12</v>
      </c>
      <c r="R7" s="76"/>
      <c r="S7" s="13">
        <v>6050</v>
      </c>
      <c r="T7" s="25"/>
      <c r="U7" s="13" t="s">
        <v>6</v>
      </c>
      <c r="V7" s="65">
        <v>554.09</v>
      </c>
      <c r="W7" s="67"/>
    </row>
    <row r="8" spans="1:25" ht="12" customHeight="1" x14ac:dyDescent="0.3">
      <c r="B8" s="2"/>
      <c r="C8" s="6" t="s">
        <v>5</v>
      </c>
      <c r="D8" s="77"/>
      <c r="E8" s="22">
        <v>0.88400000000000001</v>
      </c>
      <c r="F8" s="128" t="s">
        <v>7</v>
      </c>
      <c r="G8" s="129"/>
      <c r="H8" s="7">
        <v>4572525</v>
      </c>
      <c r="I8" s="4"/>
      <c r="J8" s="6" t="s">
        <v>5</v>
      </c>
      <c r="K8" s="77"/>
      <c r="L8" s="22">
        <v>0.78300000000000003</v>
      </c>
      <c r="M8" s="128" t="s">
        <v>7</v>
      </c>
      <c r="N8" s="129"/>
      <c r="O8" s="7">
        <v>3814250</v>
      </c>
      <c r="P8" s="68">
        <v>0</v>
      </c>
      <c r="Q8" s="6" t="s">
        <v>5</v>
      </c>
      <c r="R8" s="77"/>
      <c r="S8" s="22">
        <v>0.79</v>
      </c>
      <c r="T8" s="128" t="s">
        <v>7</v>
      </c>
      <c r="U8" s="144"/>
      <c r="V8" s="145">
        <v>3352250</v>
      </c>
      <c r="W8" s="146"/>
    </row>
    <row r="9" spans="1:25" ht="11.25" customHeight="1" x14ac:dyDescent="0.3">
      <c r="B9" s="2"/>
      <c r="C9" s="6" t="s">
        <v>11</v>
      </c>
      <c r="D9" s="77"/>
      <c r="E9" s="7">
        <v>7657</v>
      </c>
      <c r="F9" s="3"/>
      <c r="G9" s="3"/>
      <c r="H9" s="59"/>
      <c r="I9" s="4"/>
      <c r="J9" s="6" t="s">
        <v>11</v>
      </c>
      <c r="K9" s="77"/>
      <c r="L9" s="7">
        <v>7410</v>
      </c>
      <c r="M9" s="3"/>
      <c r="N9" s="3"/>
      <c r="O9" s="59"/>
      <c r="P9" s="66"/>
      <c r="Q9" s="6" t="s">
        <v>11</v>
      </c>
      <c r="R9" s="77"/>
      <c r="S9" s="7">
        <f>247*31</f>
        <v>7657</v>
      </c>
      <c r="T9" s="3"/>
      <c r="U9" s="3"/>
      <c r="V9" s="59"/>
      <c r="W9" s="67"/>
    </row>
    <row r="10" spans="1:25" ht="17.25" customHeight="1" thickBot="1" x14ac:dyDescent="0.35">
      <c r="B10" s="130" t="s">
        <v>30</v>
      </c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74"/>
      <c r="X10" s="69"/>
      <c r="Y10" s="56"/>
    </row>
    <row r="11" spans="1:25" ht="39" customHeight="1" x14ac:dyDescent="0.25">
      <c r="B11" s="26" t="s">
        <v>0</v>
      </c>
      <c r="C11" s="27" t="s">
        <v>1</v>
      </c>
      <c r="D11" s="78" t="s">
        <v>8</v>
      </c>
      <c r="E11" s="27" t="s">
        <v>2</v>
      </c>
      <c r="F11" s="27" t="s">
        <v>3</v>
      </c>
      <c r="G11" s="27" t="s">
        <v>4</v>
      </c>
      <c r="H11" s="28" t="s">
        <v>9</v>
      </c>
      <c r="I11" s="30"/>
      <c r="J11" s="33" t="s">
        <v>1</v>
      </c>
      <c r="K11" s="78" t="s">
        <v>8</v>
      </c>
      <c r="L11" s="27" t="s">
        <v>2</v>
      </c>
      <c r="M11" s="27" t="s">
        <v>3</v>
      </c>
      <c r="N11" s="27" t="s">
        <v>4</v>
      </c>
      <c r="O11" s="28" t="s">
        <v>9</v>
      </c>
      <c r="P11" s="30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1.25" customHeight="1" x14ac:dyDescent="0.25">
      <c r="B13" s="8">
        <v>1</v>
      </c>
      <c r="C13" s="9">
        <f>4451+238</f>
        <v>4689</v>
      </c>
      <c r="D13" s="55">
        <f>2454859.44+204780.86</f>
        <v>2659640.2999999998</v>
      </c>
      <c r="E13" s="10">
        <f t="shared" ref="E13:E43" si="0">D13/C13</f>
        <v>567.20842397099591</v>
      </c>
      <c r="F13" s="11">
        <f t="shared" ref="F13:F43" si="1">C13/$E$9</f>
        <v>0.6123808280005224</v>
      </c>
      <c r="G13" s="12">
        <v>171</v>
      </c>
      <c r="H13" s="36">
        <f>-(D13-2610554.45)/-G13</f>
        <v>287.05175438596274</v>
      </c>
      <c r="I13" s="31"/>
      <c r="J13" s="52">
        <v>1868</v>
      </c>
      <c r="K13" s="79">
        <v>973623.69</v>
      </c>
      <c r="L13" s="10">
        <f t="shared" ref="L13:L43" si="2">K13/J13</f>
        <v>521.21182548179866</v>
      </c>
      <c r="M13" s="11">
        <f t="shared" ref="M13:M43" si="3">J13/$L$9</f>
        <v>0.25209176788124155</v>
      </c>
      <c r="N13" s="14">
        <v>10</v>
      </c>
      <c r="O13" s="36">
        <f>(K13-1015732.52)/N13</f>
        <v>-4210.8830000000071</v>
      </c>
      <c r="P13" s="38"/>
      <c r="Q13" s="34">
        <v>496</v>
      </c>
      <c r="R13" s="64">
        <v>253862.73</v>
      </c>
      <c r="S13" s="60">
        <f t="shared" ref="S13:S43" si="4">R13/Q13</f>
        <v>511.82002016129036</v>
      </c>
      <c r="T13" s="11">
        <f t="shared" ref="T13:T43" si="5">Q13/$S$9</f>
        <v>6.4777327935222673E-2</v>
      </c>
      <c r="U13" s="14">
        <v>496</v>
      </c>
      <c r="V13" s="36">
        <f>(R13-R12)/U13</f>
        <v>511.2071169354839</v>
      </c>
      <c r="W13" s="42"/>
    </row>
    <row r="14" spans="1:25" ht="12" customHeight="1" x14ac:dyDescent="0.25">
      <c r="B14" s="15">
        <f>B13+1</f>
        <v>2</v>
      </c>
      <c r="C14" s="16">
        <f>442+4263</f>
        <v>4705</v>
      </c>
      <c r="D14" s="75">
        <f>2413377.24+370475.46</f>
        <v>2783852.7</v>
      </c>
      <c r="E14" s="10">
        <f t="shared" si="0"/>
        <v>591.67963868225297</v>
      </c>
      <c r="F14" s="11">
        <f t="shared" si="1"/>
        <v>0.61447041922423928</v>
      </c>
      <c r="G14" s="12">
        <f t="shared" ref="G14:G43" si="6">(C14-C13)</f>
        <v>16</v>
      </c>
      <c r="H14" s="29">
        <f t="shared" ref="H14:H43" si="7">(D14-D13)/G14</f>
        <v>7763.2750000000233</v>
      </c>
      <c r="I14" s="31"/>
      <c r="J14" s="35">
        <v>1885</v>
      </c>
      <c r="K14" s="75">
        <v>982440.37</v>
      </c>
      <c r="L14" s="10">
        <f t="shared" si="2"/>
        <v>521.18852519893903</v>
      </c>
      <c r="M14" s="11">
        <f t="shared" si="3"/>
        <v>0.25438596491228072</v>
      </c>
      <c r="N14" s="12">
        <f t="shared" ref="N14:N43" si="8">(J14-J13)</f>
        <v>17</v>
      </c>
      <c r="O14" s="36">
        <f>-(K14-K13)/-N14</f>
        <v>518.62823529412071</v>
      </c>
      <c r="P14" s="38"/>
      <c r="Q14" s="34">
        <v>498</v>
      </c>
      <c r="R14" s="75">
        <v>254854.39</v>
      </c>
      <c r="S14" s="10">
        <f t="shared" si="4"/>
        <v>511.75580321285145</v>
      </c>
      <c r="T14" s="11">
        <f t="shared" si="5"/>
        <v>6.5038526838187283E-2</v>
      </c>
      <c r="U14" s="14">
        <f t="shared" ref="U14:U42" si="9">Q14-Q13</f>
        <v>2</v>
      </c>
      <c r="V14" s="36">
        <f>(R14-R13)/U14</f>
        <v>495.83000000000175</v>
      </c>
      <c r="W14" s="42"/>
    </row>
    <row r="15" spans="1:25" ht="12" customHeight="1" x14ac:dyDescent="0.25">
      <c r="B15" s="15">
        <f>B14+1</f>
        <v>3</v>
      </c>
      <c r="C15" s="16">
        <f>4140+678</f>
        <v>4818</v>
      </c>
      <c r="D15" s="75">
        <f>2353951.67+523004.41</f>
        <v>2876956.08</v>
      </c>
      <c r="E15" s="10">
        <f t="shared" si="0"/>
        <v>597.12662515566626</v>
      </c>
      <c r="F15" s="11">
        <f t="shared" si="1"/>
        <v>0.62922815724173964</v>
      </c>
      <c r="G15" s="12">
        <f t="shared" si="6"/>
        <v>113</v>
      </c>
      <c r="H15" s="29">
        <f t="shared" si="7"/>
        <v>823.9237168141583</v>
      </c>
      <c r="I15" s="31"/>
      <c r="J15" s="35">
        <v>2081</v>
      </c>
      <c r="K15" s="75">
        <v>1102245.3700000001</v>
      </c>
      <c r="L15" s="10">
        <f t="shared" si="2"/>
        <v>529.67100913022591</v>
      </c>
      <c r="M15" s="11">
        <f t="shared" si="3"/>
        <v>0.28083670715249665</v>
      </c>
      <c r="N15" s="12">
        <f t="shared" si="8"/>
        <v>196</v>
      </c>
      <c r="O15" s="36">
        <f>-(K15-K14)/-N15</f>
        <v>611.25000000000057</v>
      </c>
      <c r="P15" s="38"/>
      <c r="Q15" s="34">
        <v>498</v>
      </c>
      <c r="R15" s="64">
        <v>254854.39</v>
      </c>
      <c r="S15" s="60">
        <f t="shared" si="4"/>
        <v>511.75580321285145</v>
      </c>
      <c r="T15" s="11">
        <f t="shared" si="5"/>
        <v>6.5038526838187283E-2</v>
      </c>
      <c r="U15" s="14">
        <f t="shared" si="9"/>
        <v>0</v>
      </c>
      <c r="V15" s="36" t="e">
        <f>(R15-R14)/U15</f>
        <v>#DIV/0!</v>
      </c>
      <c r="W15" s="42"/>
    </row>
    <row r="16" spans="1:25" ht="12" customHeight="1" x14ac:dyDescent="0.25">
      <c r="B16" s="15">
        <v>4</v>
      </c>
      <c r="C16" s="16">
        <f>915+3905</f>
        <v>4820</v>
      </c>
      <c r="D16" s="75">
        <f>2229789.54+665911.77</f>
        <v>2895701.31</v>
      </c>
      <c r="E16" s="10">
        <f t="shared" si="0"/>
        <v>600.7679066390042</v>
      </c>
      <c r="F16" s="11">
        <f t="shared" si="1"/>
        <v>0.62948935614470414</v>
      </c>
      <c r="G16" s="12">
        <f t="shared" si="6"/>
        <v>2</v>
      </c>
      <c r="H16" s="29">
        <f t="shared" si="7"/>
        <v>9372.6149999999907</v>
      </c>
      <c r="I16" s="31"/>
      <c r="J16" s="35">
        <v>2102</v>
      </c>
      <c r="K16" s="75">
        <v>1116398.75</v>
      </c>
      <c r="L16" s="10">
        <f t="shared" si="2"/>
        <v>531.11263082778305</v>
      </c>
      <c r="M16" s="11">
        <f t="shared" si="3"/>
        <v>0.28367071524966264</v>
      </c>
      <c r="N16" s="12">
        <f t="shared" si="8"/>
        <v>21</v>
      </c>
      <c r="O16" s="36">
        <f>-(K16-K15)/-N16</f>
        <v>673.97047619047089</v>
      </c>
      <c r="P16" s="38"/>
      <c r="Q16" s="34">
        <v>498</v>
      </c>
      <c r="R16" s="64">
        <v>254854.39</v>
      </c>
      <c r="S16" s="60">
        <f t="shared" si="4"/>
        <v>511.75580321285145</v>
      </c>
      <c r="T16" s="11">
        <f t="shared" si="5"/>
        <v>6.5038526838187283E-2</v>
      </c>
      <c r="U16" s="14">
        <f t="shared" si="9"/>
        <v>0</v>
      </c>
      <c r="V16" s="36" t="e">
        <f>(R16-R15)/U16</f>
        <v>#DIV/0!</v>
      </c>
      <c r="W16" s="42"/>
    </row>
    <row r="17" spans="2:23" ht="12" customHeight="1" x14ac:dyDescent="0.25">
      <c r="B17" s="15">
        <f t="shared" ref="B17:B41" si="10">B16+1</f>
        <v>5</v>
      </c>
      <c r="C17" s="16">
        <f>1150+3669</f>
        <v>4819</v>
      </c>
      <c r="D17" s="82">
        <f>2118121.52+804936.34</f>
        <v>2923057.86</v>
      </c>
      <c r="E17" s="10">
        <f t="shared" si="0"/>
        <v>606.56938368956207</v>
      </c>
      <c r="F17" s="11">
        <f t="shared" si="1"/>
        <v>0.62935875669322194</v>
      </c>
      <c r="G17" s="12">
        <f t="shared" si="6"/>
        <v>-1</v>
      </c>
      <c r="H17" s="29">
        <f t="shared" si="7"/>
        <v>-27356.549999999814</v>
      </c>
      <c r="I17" s="31"/>
      <c r="J17" s="35">
        <v>2105</v>
      </c>
      <c r="K17" s="75">
        <v>1118348.75</v>
      </c>
      <c r="L17" s="10">
        <f t="shared" si="2"/>
        <v>531.28206650831351</v>
      </c>
      <c r="M17" s="11">
        <f t="shared" si="3"/>
        <v>0.28407557354925778</v>
      </c>
      <c r="N17" s="12">
        <f t="shared" si="8"/>
        <v>3</v>
      </c>
      <c r="O17" s="36">
        <f>(K17-K16)/N17</f>
        <v>650</v>
      </c>
      <c r="P17" s="38"/>
      <c r="Q17" s="34">
        <v>498</v>
      </c>
      <c r="R17" s="64">
        <v>254854.39</v>
      </c>
      <c r="S17" s="60">
        <f t="shared" si="4"/>
        <v>511.75580321285145</v>
      </c>
      <c r="T17" s="11">
        <f t="shared" si="5"/>
        <v>6.5038526838187283E-2</v>
      </c>
      <c r="U17" s="14">
        <f t="shared" si="9"/>
        <v>0</v>
      </c>
      <c r="V17" s="36" t="e">
        <f>(R17-R16)/-U17</f>
        <v>#DIV/0!</v>
      </c>
      <c r="W17" s="42"/>
    </row>
    <row r="18" spans="2:23" ht="12" customHeight="1" x14ac:dyDescent="0.25">
      <c r="B18" s="15">
        <f t="shared" si="10"/>
        <v>6</v>
      </c>
      <c r="C18" s="16">
        <f>3727+1355</f>
        <v>5082</v>
      </c>
      <c r="D18" s="82">
        <f>2100086.8+938788.88</f>
        <v>3038875.6799999997</v>
      </c>
      <c r="E18" s="10">
        <f t="shared" si="0"/>
        <v>597.96845336481692</v>
      </c>
      <c r="F18" s="11">
        <f t="shared" si="1"/>
        <v>0.66370641243306783</v>
      </c>
      <c r="G18" s="12">
        <f t="shared" si="6"/>
        <v>263</v>
      </c>
      <c r="H18" s="29">
        <f t="shared" si="7"/>
        <v>440.37193916349747</v>
      </c>
      <c r="I18" s="31">
        <v>0</v>
      </c>
      <c r="J18" s="35">
        <v>2149</v>
      </c>
      <c r="K18" s="75">
        <v>1147615.3700000001</v>
      </c>
      <c r="L18" s="10">
        <f t="shared" si="2"/>
        <v>534.02297347603542</v>
      </c>
      <c r="M18" s="11">
        <f t="shared" si="3"/>
        <v>0.29001349527665315</v>
      </c>
      <c r="N18" s="12">
        <f t="shared" si="8"/>
        <v>44</v>
      </c>
      <c r="O18" s="36">
        <f>(K18-K17)/N18</f>
        <v>665.15045454545714</v>
      </c>
      <c r="P18" s="38"/>
      <c r="Q18" s="34">
        <v>502</v>
      </c>
      <c r="R18" s="64">
        <v>258014.39</v>
      </c>
      <c r="S18" s="60">
        <f t="shared" si="4"/>
        <v>513.97288844621517</v>
      </c>
      <c r="T18" s="11">
        <f t="shared" si="5"/>
        <v>6.5560924644116489E-2</v>
      </c>
      <c r="U18" s="14">
        <f t="shared" si="9"/>
        <v>4</v>
      </c>
      <c r="V18" s="36">
        <f t="shared" ref="V18:V38" si="11">(R18-R17)/U18</f>
        <v>790</v>
      </c>
      <c r="W18" s="42"/>
    </row>
    <row r="19" spans="2:23" ht="12" customHeight="1" x14ac:dyDescent="0.25">
      <c r="B19" s="15">
        <f t="shared" si="10"/>
        <v>7</v>
      </c>
      <c r="C19" s="16">
        <f>3788+1592</f>
        <v>5380</v>
      </c>
      <c r="D19" s="82">
        <f>1096862.22+2146654.61</f>
        <v>3243516.83</v>
      </c>
      <c r="E19" s="10">
        <f t="shared" si="0"/>
        <v>602.88416914498146</v>
      </c>
      <c r="F19" s="11">
        <f t="shared" si="1"/>
        <v>0.70262504897479428</v>
      </c>
      <c r="G19" s="12">
        <f t="shared" si="6"/>
        <v>298</v>
      </c>
      <c r="H19" s="29">
        <f t="shared" si="7"/>
        <v>686.71526845637709</v>
      </c>
      <c r="I19" s="31"/>
      <c r="J19" s="35">
        <v>2350</v>
      </c>
      <c r="K19" s="75">
        <v>1213178.19</v>
      </c>
      <c r="L19" s="10">
        <f t="shared" si="2"/>
        <v>516.24603829787236</v>
      </c>
      <c r="M19" s="11">
        <f t="shared" si="3"/>
        <v>0.31713900134952766</v>
      </c>
      <c r="N19" s="12">
        <f t="shared" si="8"/>
        <v>201</v>
      </c>
      <c r="O19" s="36">
        <f>-(K19-K18)/-N19</f>
        <v>326.18318407960118</v>
      </c>
      <c r="P19" s="38"/>
      <c r="Q19" s="34">
        <v>806</v>
      </c>
      <c r="R19" s="64">
        <v>367564.39</v>
      </c>
      <c r="S19" s="60">
        <f t="shared" si="4"/>
        <v>456.03522332506208</v>
      </c>
      <c r="T19" s="11">
        <f t="shared" si="5"/>
        <v>0.10526315789473684</v>
      </c>
      <c r="U19" s="14">
        <f t="shared" si="9"/>
        <v>304</v>
      </c>
      <c r="V19" s="36">
        <f t="shared" si="11"/>
        <v>360.36184210526318</v>
      </c>
      <c r="W19" s="42"/>
    </row>
    <row r="20" spans="2:23" ht="12" customHeight="1" x14ac:dyDescent="0.25">
      <c r="B20" s="15">
        <f t="shared" si="10"/>
        <v>8</v>
      </c>
      <c r="C20" s="16">
        <f>1820+3757</f>
        <v>5577</v>
      </c>
      <c r="D20" s="82">
        <f>2131042.74+1254828.32</f>
        <v>3385871.0600000005</v>
      </c>
      <c r="E20" s="10">
        <f t="shared" si="0"/>
        <v>607.11333333333346</v>
      </c>
      <c r="F20" s="11">
        <f t="shared" si="1"/>
        <v>0.72835314091680814</v>
      </c>
      <c r="G20" s="12">
        <f t="shared" si="6"/>
        <v>197</v>
      </c>
      <c r="H20" s="29">
        <f t="shared" si="7"/>
        <v>722.61030456853018</v>
      </c>
      <c r="I20" s="31"/>
      <c r="J20" s="35">
        <v>2416</v>
      </c>
      <c r="K20" s="75">
        <v>1296007.6599999999</v>
      </c>
      <c r="L20" s="10">
        <f t="shared" si="2"/>
        <v>536.42701158940395</v>
      </c>
      <c r="M20" s="11">
        <f t="shared" si="3"/>
        <v>0.32604588394062078</v>
      </c>
      <c r="N20" s="12">
        <f t="shared" si="8"/>
        <v>66</v>
      </c>
      <c r="O20" s="36">
        <f>(K20-K19)/N20</f>
        <v>1254.9919696969694</v>
      </c>
      <c r="P20" s="38"/>
      <c r="Q20" s="34">
        <v>811</v>
      </c>
      <c r="R20" s="64">
        <v>370453.39</v>
      </c>
      <c r="S20" s="60">
        <f t="shared" si="4"/>
        <v>456.78593094944517</v>
      </c>
      <c r="T20" s="11">
        <f t="shared" si="5"/>
        <v>0.10591615515214836</v>
      </c>
      <c r="U20" s="14">
        <f t="shared" si="9"/>
        <v>5</v>
      </c>
      <c r="V20" s="36">
        <f t="shared" si="11"/>
        <v>577.79999999999995</v>
      </c>
      <c r="W20" s="42"/>
    </row>
    <row r="21" spans="2:23" ht="12" customHeight="1" x14ac:dyDescent="0.25">
      <c r="B21" s="15">
        <f t="shared" si="10"/>
        <v>9</v>
      </c>
      <c r="C21" s="16">
        <f>2024+3497</f>
        <v>5521</v>
      </c>
      <c r="D21" s="82">
        <f>1402084.87+1960594.4</f>
        <v>3362679.27</v>
      </c>
      <c r="E21" s="10">
        <f t="shared" si="0"/>
        <v>609.07068828110846</v>
      </c>
      <c r="F21" s="11">
        <f t="shared" si="1"/>
        <v>0.72103957163379917</v>
      </c>
      <c r="G21" s="12">
        <f t="shared" si="6"/>
        <v>-56</v>
      </c>
      <c r="H21" s="29">
        <f t="shared" si="7"/>
        <v>414.13910714286612</v>
      </c>
      <c r="I21" s="31"/>
      <c r="J21" s="35">
        <v>2437</v>
      </c>
      <c r="K21" s="75">
        <v>1304732.71</v>
      </c>
      <c r="L21" s="10">
        <f t="shared" si="2"/>
        <v>535.38478046778823</v>
      </c>
      <c r="M21" s="11">
        <f t="shared" si="3"/>
        <v>0.32887989203778678</v>
      </c>
      <c r="N21" s="12">
        <f t="shared" si="8"/>
        <v>21</v>
      </c>
      <c r="O21" s="36">
        <f t="shared" ref="O21:O43" si="12">(K21-K20)/N21</f>
        <v>415.47857142857367</v>
      </c>
      <c r="P21" s="38"/>
      <c r="Q21" s="34">
        <v>846</v>
      </c>
      <c r="R21" s="64">
        <v>385878.39</v>
      </c>
      <c r="S21" s="60">
        <f t="shared" si="4"/>
        <v>456.12102836879433</v>
      </c>
      <c r="T21" s="11">
        <f t="shared" si="5"/>
        <v>0.11048713595402899</v>
      </c>
      <c r="U21" s="14">
        <f t="shared" si="9"/>
        <v>35</v>
      </c>
      <c r="V21" s="36">
        <f t="shared" si="11"/>
        <v>440.71428571428572</v>
      </c>
      <c r="W21" s="42"/>
    </row>
    <row r="22" spans="2:23" ht="12" customHeight="1" x14ac:dyDescent="0.25">
      <c r="B22" s="15">
        <f t="shared" si="10"/>
        <v>10</v>
      </c>
      <c r="C22" s="16">
        <f>2209+3467</f>
        <v>5676</v>
      </c>
      <c r="D22" s="82">
        <f>1547623.52+1926432.2</f>
        <v>3474055.7199999997</v>
      </c>
      <c r="E22" s="10">
        <f t="shared" si="0"/>
        <v>612.06055673009155</v>
      </c>
      <c r="F22" s="11">
        <f t="shared" si="1"/>
        <v>0.74128248661355622</v>
      </c>
      <c r="G22" s="12">
        <f t="shared" si="6"/>
        <v>155</v>
      </c>
      <c r="H22" s="29">
        <f t="shared" si="7"/>
        <v>718.55774193548211</v>
      </c>
      <c r="I22" s="31"/>
      <c r="J22" s="35">
        <v>2600</v>
      </c>
      <c r="K22" s="75">
        <v>1375815.54</v>
      </c>
      <c r="L22" s="10">
        <f t="shared" si="2"/>
        <v>529.15982307692309</v>
      </c>
      <c r="M22" s="11">
        <f t="shared" si="3"/>
        <v>0.35087719298245612</v>
      </c>
      <c r="N22" s="12">
        <f t="shared" si="8"/>
        <v>163</v>
      </c>
      <c r="O22" s="36">
        <f t="shared" si="12"/>
        <v>436.0909815950925</v>
      </c>
      <c r="P22" s="38"/>
      <c r="Q22" s="34">
        <v>962</v>
      </c>
      <c r="R22" s="64">
        <v>431168.7</v>
      </c>
      <c r="S22" s="60">
        <f t="shared" si="4"/>
        <v>448.20031185031183</v>
      </c>
      <c r="T22" s="11">
        <f t="shared" si="5"/>
        <v>0.12563667232597622</v>
      </c>
      <c r="U22" s="14">
        <f t="shared" si="9"/>
        <v>116</v>
      </c>
      <c r="V22" s="36">
        <f t="shared" si="11"/>
        <v>390.43370689655171</v>
      </c>
      <c r="W22" s="42"/>
    </row>
    <row r="23" spans="2:23" ht="12" customHeight="1" x14ac:dyDescent="0.25">
      <c r="B23" s="15">
        <f t="shared" si="10"/>
        <v>11</v>
      </c>
      <c r="C23" s="16">
        <f>2378+3323</f>
        <v>5701</v>
      </c>
      <c r="D23" s="82">
        <f>1838519.59+1661230.4</f>
        <v>3499749.99</v>
      </c>
      <c r="E23" s="10">
        <f t="shared" si="0"/>
        <v>613.88352745132431</v>
      </c>
      <c r="F23" s="11">
        <f t="shared" si="1"/>
        <v>0.74454747290061385</v>
      </c>
      <c r="G23" s="12">
        <f t="shared" si="6"/>
        <v>25</v>
      </c>
      <c r="H23" s="29">
        <f t="shared" si="7"/>
        <v>1027.7708000000193</v>
      </c>
      <c r="I23" s="31"/>
      <c r="J23" s="35">
        <v>2650</v>
      </c>
      <c r="K23" s="75">
        <v>1397402.33</v>
      </c>
      <c r="L23" s="10">
        <f t="shared" si="2"/>
        <v>527.32163396226417</v>
      </c>
      <c r="M23" s="11">
        <f t="shared" si="3"/>
        <v>0.35762483130904182</v>
      </c>
      <c r="N23" s="12">
        <f t="shared" si="8"/>
        <v>50</v>
      </c>
      <c r="O23" s="36">
        <f t="shared" si="12"/>
        <v>431.73580000000072</v>
      </c>
      <c r="P23" s="38"/>
      <c r="Q23" s="34">
        <v>962</v>
      </c>
      <c r="R23" s="64">
        <v>430538.7</v>
      </c>
      <c r="S23" s="60">
        <f t="shared" si="4"/>
        <v>447.54542619542622</v>
      </c>
      <c r="T23" s="11">
        <f t="shared" si="5"/>
        <v>0.12563667232597622</v>
      </c>
      <c r="U23" s="14">
        <f t="shared" si="9"/>
        <v>0</v>
      </c>
      <c r="V23" s="36">
        <v>0</v>
      </c>
      <c r="W23" s="42"/>
    </row>
    <row r="24" spans="2:23" ht="12" customHeight="1" x14ac:dyDescent="0.25">
      <c r="B24" s="15">
        <f t="shared" si="10"/>
        <v>12</v>
      </c>
      <c r="C24" s="16">
        <f>3259+2514</f>
        <v>5773</v>
      </c>
      <c r="D24" s="82">
        <f>1759053.23+1816600.68</f>
        <v>3575653.91</v>
      </c>
      <c r="E24" s="10">
        <f t="shared" si="0"/>
        <v>619.37535250303142</v>
      </c>
      <c r="F24" s="11">
        <f t="shared" si="1"/>
        <v>0.7539506334073397</v>
      </c>
      <c r="G24" s="12">
        <f t="shared" si="6"/>
        <v>72</v>
      </c>
      <c r="H24" s="29">
        <f t="shared" si="7"/>
        <v>1054.2211111111101</v>
      </c>
      <c r="I24" s="31">
        <v>635.86</v>
      </c>
      <c r="J24" s="35">
        <v>2734</v>
      </c>
      <c r="K24" s="75">
        <v>1455427.36</v>
      </c>
      <c r="L24" s="10">
        <f t="shared" si="2"/>
        <v>532.34358449158742</v>
      </c>
      <c r="M24" s="11">
        <f t="shared" si="3"/>
        <v>0.36896086369770581</v>
      </c>
      <c r="N24" s="12">
        <f t="shared" si="8"/>
        <v>84</v>
      </c>
      <c r="O24" s="36">
        <f t="shared" si="12"/>
        <v>690.77416666666704</v>
      </c>
      <c r="P24" s="38"/>
      <c r="Q24" s="34">
        <v>962</v>
      </c>
      <c r="R24" s="64">
        <v>430538.7</v>
      </c>
      <c r="S24" s="60">
        <f t="shared" si="4"/>
        <v>447.54542619542622</v>
      </c>
      <c r="T24" s="11">
        <f t="shared" si="5"/>
        <v>0.12563667232597622</v>
      </c>
      <c r="U24" s="14">
        <v>0</v>
      </c>
      <c r="V24" s="36" t="e">
        <f t="shared" si="11"/>
        <v>#DIV/0!</v>
      </c>
      <c r="W24" s="42"/>
    </row>
    <row r="25" spans="2:23" ht="12" customHeight="1" x14ac:dyDescent="0.25">
      <c r="B25" s="15">
        <f t="shared" si="10"/>
        <v>13</v>
      </c>
      <c r="C25" s="16">
        <f>2731+3026</f>
        <v>5757</v>
      </c>
      <c r="D25" s="82">
        <f>1899924.09+1679901.23</f>
        <v>3579825.3200000003</v>
      </c>
      <c r="E25" s="10">
        <f t="shared" si="0"/>
        <v>621.82131665798158</v>
      </c>
      <c r="F25" s="11">
        <f t="shared" si="1"/>
        <v>0.75186104218362282</v>
      </c>
      <c r="G25" s="12">
        <f t="shared" si="6"/>
        <v>-16</v>
      </c>
      <c r="H25" s="29">
        <f t="shared" si="7"/>
        <v>-260.71312500000931</v>
      </c>
      <c r="I25" s="31"/>
      <c r="J25" s="35">
        <v>2853</v>
      </c>
      <c r="K25" s="75">
        <v>1520318.97</v>
      </c>
      <c r="L25" s="10">
        <f t="shared" si="2"/>
        <v>532.88432176656147</v>
      </c>
      <c r="M25" s="11">
        <f t="shared" si="3"/>
        <v>0.38502024291497977</v>
      </c>
      <c r="N25" s="12">
        <f t="shared" si="8"/>
        <v>119</v>
      </c>
      <c r="O25" s="36">
        <f t="shared" si="12"/>
        <v>545.30764705882245</v>
      </c>
      <c r="P25" s="38"/>
      <c r="Q25" s="34">
        <v>977</v>
      </c>
      <c r="R25" s="64">
        <v>439130.32</v>
      </c>
      <c r="S25" s="60">
        <f t="shared" si="4"/>
        <v>449.46808597748208</v>
      </c>
      <c r="T25" s="11">
        <f t="shared" si="5"/>
        <v>0.1275956640982108</v>
      </c>
      <c r="U25" s="14">
        <f t="shared" si="9"/>
        <v>15</v>
      </c>
      <c r="V25" s="36">
        <f t="shared" si="11"/>
        <v>572.77466666666635</v>
      </c>
      <c r="W25" s="42"/>
    </row>
    <row r="26" spans="2:23" ht="12" customHeight="1" x14ac:dyDescent="0.25">
      <c r="B26" s="15">
        <f t="shared" si="10"/>
        <v>14</v>
      </c>
      <c r="C26" s="16">
        <f>2971+2819</f>
        <v>5790</v>
      </c>
      <c r="D26" s="82">
        <f>1580689+2067680.47</f>
        <v>3648369.4699999997</v>
      </c>
      <c r="E26" s="10">
        <f t="shared" si="0"/>
        <v>630.11562521588939</v>
      </c>
      <c r="F26" s="11">
        <f t="shared" si="1"/>
        <v>0.75617082408253888</v>
      </c>
      <c r="G26" s="12">
        <f t="shared" si="6"/>
        <v>33</v>
      </c>
      <c r="H26" s="29">
        <f t="shared" si="7"/>
        <v>2077.0954545454374</v>
      </c>
      <c r="I26" s="31"/>
      <c r="J26" s="35">
        <v>2911</v>
      </c>
      <c r="K26" s="75">
        <v>1553571.63</v>
      </c>
      <c r="L26" s="10">
        <f t="shared" si="2"/>
        <v>533.69001374098241</v>
      </c>
      <c r="M26" s="11">
        <f t="shared" si="3"/>
        <v>0.39284750337381918</v>
      </c>
      <c r="N26" s="12">
        <f t="shared" si="8"/>
        <v>58</v>
      </c>
      <c r="O26" s="36">
        <f t="shared" si="12"/>
        <v>573.32172413792955</v>
      </c>
      <c r="P26" s="38"/>
      <c r="Q26" s="34">
        <v>977</v>
      </c>
      <c r="R26" s="64">
        <v>439130.32</v>
      </c>
      <c r="S26" s="60">
        <f t="shared" si="4"/>
        <v>449.46808597748208</v>
      </c>
      <c r="T26" s="11">
        <f t="shared" si="5"/>
        <v>0.1275956640982108</v>
      </c>
      <c r="U26" s="14">
        <f t="shared" si="9"/>
        <v>0</v>
      </c>
      <c r="V26" s="36" t="e">
        <f t="shared" si="11"/>
        <v>#DIV/0!</v>
      </c>
      <c r="W26" s="42"/>
    </row>
    <row r="27" spans="2:23" ht="12" customHeight="1" x14ac:dyDescent="0.25">
      <c r="B27" s="15">
        <f t="shared" si="10"/>
        <v>15</v>
      </c>
      <c r="C27" s="16">
        <f>3209+2549</f>
        <v>5758</v>
      </c>
      <c r="D27" s="82">
        <f>154719.7+3445553.61</f>
        <v>3600273.31</v>
      </c>
      <c r="E27" s="10">
        <f t="shared" si="0"/>
        <v>625.26455540118093</v>
      </c>
      <c r="F27" s="11">
        <f t="shared" si="1"/>
        <v>0.75199164163510512</v>
      </c>
      <c r="G27" s="12">
        <f t="shared" si="6"/>
        <v>-32</v>
      </c>
      <c r="H27" s="29">
        <f t="shared" si="7"/>
        <v>1503.0049999999901</v>
      </c>
      <c r="I27" s="31"/>
      <c r="J27" s="35">
        <v>2563</v>
      </c>
      <c r="K27" s="75">
        <v>1376385.19</v>
      </c>
      <c r="L27" s="10">
        <f t="shared" si="2"/>
        <v>537.02114319157238</v>
      </c>
      <c r="M27" s="11">
        <f t="shared" si="3"/>
        <v>0.3458839406207827</v>
      </c>
      <c r="N27" s="12">
        <f t="shared" si="8"/>
        <v>-348</v>
      </c>
      <c r="O27" s="36">
        <f t="shared" si="12"/>
        <v>509.15643678160905</v>
      </c>
      <c r="P27" s="38"/>
      <c r="Q27" s="34">
        <v>1460</v>
      </c>
      <c r="R27" s="64">
        <v>692488.65</v>
      </c>
      <c r="S27" s="60">
        <f t="shared" si="4"/>
        <v>474.30729452054794</v>
      </c>
      <c r="T27" s="11">
        <f t="shared" si="5"/>
        <v>0.19067519916416351</v>
      </c>
      <c r="U27" s="14">
        <f t="shared" si="9"/>
        <v>483</v>
      </c>
      <c r="V27" s="36">
        <f t="shared" si="11"/>
        <v>524.55140786749485</v>
      </c>
      <c r="W27" s="42"/>
    </row>
    <row r="28" spans="2:23" ht="12" customHeight="1" x14ac:dyDescent="0.25">
      <c r="B28" s="15">
        <f t="shared" si="10"/>
        <v>16</v>
      </c>
      <c r="C28" s="16">
        <f>2467+3456</f>
        <v>5923</v>
      </c>
      <c r="D28" s="82">
        <f>1391726.33+2381745.73</f>
        <v>3773472.06</v>
      </c>
      <c r="E28" s="10">
        <f t="shared" si="0"/>
        <v>637.08797231132871</v>
      </c>
      <c r="F28" s="11">
        <f t="shared" si="1"/>
        <v>0.77354055112968523</v>
      </c>
      <c r="G28" s="12">
        <f t="shared" si="6"/>
        <v>165</v>
      </c>
      <c r="H28" s="29">
        <f t="shared" si="7"/>
        <v>1049.689393939394</v>
      </c>
      <c r="I28" s="31"/>
      <c r="J28" s="35">
        <v>2713</v>
      </c>
      <c r="K28" s="75">
        <v>1449813.77</v>
      </c>
      <c r="L28" s="10">
        <f t="shared" si="2"/>
        <v>534.3950497604128</v>
      </c>
      <c r="M28" s="11">
        <f t="shared" si="3"/>
        <v>0.36612685560053981</v>
      </c>
      <c r="N28" s="12">
        <f t="shared" si="8"/>
        <v>150</v>
      </c>
      <c r="O28" s="36">
        <f t="shared" si="12"/>
        <v>489.52386666666717</v>
      </c>
      <c r="P28" s="38"/>
      <c r="Q28" s="34">
        <v>1474</v>
      </c>
      <c r="R28" s="64">
        <v>680448.63</v>
      </c>
      <c r="S28" s="60">
        <f t="shared" si="4"/>
        <v>461.63407734056989</v>
      </c>
      <c r="T28" s="11">
        <f t="shared" si="5"/>
        <v>0.19250359148491578</v>
      </c>
      <c r="U28" s="14">
        <f t="shared" si="9"/>
        <v>14</v>
      </c>
      <c r="V28" s="36">
        <f t="shared" si="11"/>
        <v>-860.00142857142987</v>
      </c>
      <c r="W28" s="42"/>
    </row>
    <row r="29" spans="2:23" ht="12" customHeight="1" x14ac:dyDescent="0.25">
      <c r="B29" s="15">
        <f t="shared" si="10"/>
        <v>17</v>
      </c>
      <c r="C29" s="16">
        <f>3696+2168</f>
        <v>5864</v>
      </c>
      <c r="D29" s="83">
        <f>2549393.82+1228398.54</f>
        <v>3777792.36</v>
      </c>
      <c r="E29" s="10">
        <f t="shared" si="0"/>
        <v>644.23471350613909</v>
      </c>
      <c r="F29" s="11">
        <f t="shared" si="1"/>
        <v>0.76583518349222934</v>
      </c>
      <c r="G29" s="12">
        <f t="shared" si="6"/>
        <v>-59</v>
      </c>
      <c r="H29" s="29">
        <f t="shared" si="7"/>
        <v>-73.225423728810398</v>
      </c>
      <c r="I29" s="31"/>
      <c r="J29" s="35">
        <v>2678</v>
      </c>
      <c r="K29" s="75">
        <v>1433314.05</v>
      </c>
      <c r="L29" s="10">
        <f t="shared" si="2"/>
        <v>535.21809185959671</v>
      </c>
      <c r="M29" s="11">
        <f t="shared" si="3"/>
        <v>0.36140350877192984</v>
      </c>
      <c r="N29" s="12">
        <f t="shared" si="8"/>
        <v>-35</v>
      </c>
      <c r="O29" s="36">
        <f t="shared" si="12"/>
        <v>471.42057142857061</v>
      </c>
      <c r="P29" s="38"/>
      <c r="Q29" s="34">
        <v>1427</v>
      </c>
      <c r="R29" s="64">
        <v>662640.12</v>
      </c>
      <c r="S29" s="60">
        <f t="shared" si="4"/>
        <v>464.35887876664333</v>
      </c>
      <c r="T29" s="11">
        <f t="shared" si="5"/>
        <v>0.1863654172652475</v>
      </c>
      <c r="U29" s="14">
        <f t="shared" si="9"/>
        <v>-47</v>
      </c>
      <c r="V29" s="36">
        <f t="shared" si="11"/>
        <v>378.9044680851066</v>
      </c>
      <c r="W29" s="42"/>
    </row>
    <row r="30" spans="2:23" ht="12" customHeight="1" x14ac:dyDescent="0.25">
      <c r="B30" s="15">
        <f t="shared" si="10"/>
        <v>18</v>
      </c>
      <c r="C30" s="16">
        <f>2039+3868</f>
        <v>5907</v>
      </c>
      <c r="D30" s="84">
        <f>2660119.53+1161783.8</f>
        <v>3821903.33</v>
      </c>
      <c r="E30" s="10">
        <f t="shared" si="0"/>
        <v>647.01258337565605</v>
      </c>
      <c r="F30" s="11">
        <f t="shared" si="1"/>
        <v>0.77145095990596835</v>
      </c>
      <c r="G30" s="12">
        <f t="shared" si="6"/>
        <v>43</v>
      </c>
      <c r="H30" s="29">
        <f t="shared" si="7"/>
        <v>1025.8365116279117</v>
      </c>
      <c r="I30" s="31"/>
      <c r="J30" s="35">
        <v>2733</v>
      </c>
      <c r="K30" s="75">
        <v>1467095.71</v>
      </c>
      <c r="L30" s="10">
        <f t="shared" si="2"/>
        <v>536.80779729235269</v>
      </c>
      <c r="M30" s="11">
        <f t="shared" si="3"/>
        <v>0.36882591093117406</v>
      </c>
      <c r="N30" s="12">
        <f t="shared" si="8"/>
        <v>55</v>
      </c>
      <c r="O30" s="36">
        <f t="shared" si="12"/>
        <v>614.21199999999851</v>
      </c>
      <c r="P30" s="38"/>
      <c r="Q30" s="34">
        <v>1428</v>
      </c>
      <c r="R30" s="64">
        <v>663128.12</v>
      </c>
      <c r="S30" s="60">
        <f t="shared" si="4"/>
        <v>464.37543417366948</v>
      </c>
      <c r="T30" s="11">
        <f t="shared" si="5"/>
        <v>0.1864960167167298</v>
      </c>
      <c r="U30" s="14">
        <f t="shared" si="9"/>
        <v>1</v>
      </c>
      <c r="V30" s="36">
        <f t="shared" si="11"/>
        <v>488</v>
      </c>
      <c r="W30" s="42"/>
    </row>
    <row r="31" spans="2:23" ht="12" customHeight="1" x14ac:dyDescent="0.25">
      <c r="B31" s="15">
        <f t="shared" si="10"/>
        <v>19</v>
      </c>
      <c r="C31" s="16">
        <f>4048+1875</f>
        <v>5923</v>
      </c>
      <c r="D31" s="84">
        <f>1079397.35+2776241.26</f>
        <v>3855638.61</v>
      </c>
      <c r="E31" s="10">
        <f t="shared" si="0"/>
        <v>650.96042714840451</v>
      </c>
      <c r="F31" s="11">
        <f t="shared" si="1"/>
        <v>0.77354055112968523</v>
      </c>
      <c r="G31" s="12">
        <f t="shared" si="6"/>
        <v>16</v>
      </c>
      <c r="H31" s="29">
        <f t="shared" si="7"/>
        <v>2108.4549999999872</v>
      </c>
      <c r="I31" s="31"/>
      <c r="J31" s="35">
        <v>2779</v>
      </c>
      <c r="K31" s="75">
        <v>1504178.99</v>
      </c>
      <c r="L31" s="10">
        <f t="shared" si="2"/>
        <v>541.26627923713568</v>
      </c>
      <c r="M31" s="11">
        <f t="shared" si="3"/>
        <v>0.37503373819163294</v>
      </c>
      <c r="N31" s="12">
        <f t="shared" si="8"/>
        <v>46</v>
      </c>
      <c r="O31" s="36">
        <f t="shared" si="12"/>
        <v>806.15826086956588</v>
      </c>
      <c r="P31" s="38"/>
      <c r="Q31" s="34">
        <v>1429</v>
      </c>
      <c r="R31" s="64">
        <v>664078.12</v>
      </c>
      <c r="S31" s="60">
        <f t="shared" si="4"/>
        <v>464.71526941917426</v>
      </c>
      <c r="T31" s="11">
        <f t="shared" si="5"/>
        <v>0.18662661616821211</v>
      </c>
      <c r="U31" s="14">
        <f t="shared" si="9"/>
        <v>1</v>
      </c>
      <c r="V31" s="36">
        <f t="shared" si="11"/>
        <v>950</v>
      </c>
      <c r="W31" s="42"/>
    </row>
    <row r="32" spans="2:23" ht="12" customHeight="1" x14ac:dyDescent="0.25">
      <c r="B32" s="15">
        <f t="shared" si="10"/>
        <v>20</v>
      </c>
      <c r="C32" s="16">
        <f>1871+4207</f>
        <v>6078</v>
      </c>
      <c r="D32" s="84">
        <f>1092579.71+2891075.8</f>
        <v>3983655.51</v>
      </c>
      <c r="E32" s="10">
        <f t="shared" si="0"/>
        <v>655.42209772951628</v>
      </c>
      <c r="F32" s="11">
        <f t="shared" si="1"/>
        <v>0.79378346610944239</v>
      </c>
      <c r="G32" s="12">
        <f t="shared" si="6"/>
        <v>155</v>
      </c>
      <c r="H32" s="29">
        <f t="shared" si="7"/>
        <v>825.91548387096714</v>
      </c>
      <c r="I32" s="31"/>
      <c r="J32" s="35">
        <v>2878</v>
      </c>
      <c r="K32" s="75">
        <v>1557516.51</v>
      </c>
      <c r="L32" s="10">
        <f t="shared" si="2"/>
        <v>541.18016330785269</v>
      </c>
      <c r="M32" s="11">
        <f t="shared" si="3"/>
        <v>0.38839406207827259</v>
      </c>
      <c r="N32" s="12">
        <f t="shared" si="8"/>
        <v>99</v>
      </c>
      <c r="O32" s="36">
        <f t="shared" si="12"/>
        <v>538.76282828282842</v>
      </c>
      <c r="P32" s="38"/>
      <c r="Q32" s="34">
        <v>1489</v>
      </c>
      <c r="R32" s="64">
        <v>682944.92</v>
      </c>
      <c r="S32" s="60">
        <f t="shared" si="4"/>
        <v>458.66012088650103</v>
      </c>
      <c r="T32" s="11">
        <f t="shared" si="5"/>
        <v>0.19446258325715032</v>
      </c>
      <c r="U32" s="14">
        <f t="shared" si="9"/>
        <v>60</v>
      </c>
      <c r="V32" s="36">
        <f t="shared" si="11"/>
        <v>314.44666666666745</v>
      </c>
      <c r="W32" s="42"/>
    </row>
    <row r="33" spans="2:23" ht="12" customHeight="1" x14ac:dyDescent="0.25">
      <c r="B33" s="15">
        <f t="shared" si="10"/>
        <v>21</v>
      </c>
      <c r="C33" s="16">
        <f>1682+4416</f>
        <v>6098</v>
      </c>
      <c r="D33" s="82">
        <f>3046443.8+984585.79</f>
        <v>4031029.59</v>
      </c>
      <c r="E33" s="10">
        <f t="shared" si="0"/>
        <v>661.0412577894391</v>
      </c>
      <c r="F33" s="11">
        <f t="shared" si="1"/>
        <v>0.79639545513908838</v>
      </c>
      <c r="G33" s="12">
        <f t="shared" si="6"/>
        <v>20</v>
      </c>
      <c r="H33" s="29">
        <f t="shared" si="7"/>
        <v>2368.7040000000038</v>
      </c>
      <c r="I33" s="31"/>
      <c r="J33" s="35">
        <v>2967</v>
      </c>
      <c r="K33" s="75">
        <v>1614378.27</v>
      </c>
      <c r="L33" s="10">
        <f t="shared" si="2"/>
        <v>544.11131445904959</v>
      </c>
      <c r="M33" s="11">
        <f t="shared" si="3"/>
        <v>0.40040485829959516</v>
      </c>
      <c r="N33" s="12">
        <f t="shared" si="8"/>
        <v>89</v>
      </c>
      <c r="O33" s="36">
        <f t="shared" si="12"/>
        <v>638.89617977528098</v>
      </c>
      <c r="P33" s="38"/>
      <c r="Q33" s="34">
        <v>1519</v>
      </c>
      <c r="R33" s="64">
        <v>697653.32</v>
      </c>
      <c r="S33" s="60">
        <f t="shared" si="4"/>
        <v>459.28460829493082</v>
      </c>
      <c r="T33" s="11">
        <f t="shared" si="5"/>
        <v>0.19838056680161945</v>
      </c>
      <c r="U33" s="14">
        <f t="shared" si="9"/>
        <v>30</v>
      </c>
      <c r="V33" s="36">
        <f t="shared" si="11"/>
        <v>490.2799999999969</v>
      </c>
      <c r="W33" s="42"/>
    </row>
    <row r="34" spans="2:23" ht="12" customHeight="1" x14ac:dyDescent="0.25">
      <c r="B34" s="15">
        <f t="shared" si="10"/>
        <v>22</v>
      </c>
      <c r="C34" s="16">
        <f>4654+1489</f>
        <v>6143</v>
      </c>
      <c r="D34" s="82">
        <f>893632.26+3216552.39</f>
        <v>4110184.6500000004</v>
      </c>
      <c r="E34" s="10">
        <f t="shared" si="0"/>
        <v>669.08426664496176</v>
      </c>
      <c r="F34" s="11">
        <f t="shared" si="1"/>
        <v>0.80227243045579211</v>
      </c>
      <c r="G34" s="12">
        <f t="shared" si="6"/>
        <v>45</v>
      </c>
      <c r="H34" s="29">
        <f t="shared" si="7"/>
        <v>1759.001333333345</v>
      </c>
      <c r="I34" s="31"/>
      <c r="J34" s="35">
        <v>3031</v>
      </c>
      <c r="K34" s="75">
        <v>1665917.64</v>
      </c>
      <c r="L34" s="10">
        <f t="shared" si="2"/>
        <v>549.62640712636096</v>
      </c>
      <c r="M34" s="11">
        <f t="shared" si="3"/>
        <v>0.40904183535762484</v>
      </c>
      <c r="N34" s="12">
        <f t="shared" si="8"/>
        <v>64</v>
      </c>
      <c r="O34" s="36">
        <f t="shared" si="12"/>
        <v>805.30265624999811</v>
      </c>
      <c r="P34" s="38"/>
      <c r="Q34" s="34">
        <v>1528</v>
      </c>
      <c r="R34" s="64">
        <v>703461.66</v>
      </c>
      <c r="S34" s="60">
        <f t="shared" si="4"/>
        <v>460.38066753926705</v>
      </c>
      <c r="T34" s="11">
        <f t="shared" si="5"/>
        <v>0.19955596186496016</v>
      </c>
      <c r="U34" s="14">
        <f t="shared" si="9"/>
        <v>9</v>
      </c>
      <c r="V34" s="36">
        <f t="shared" si="11"/>
        <v>645.3711111111204</v>
      </c>
      <c r="W34" s="42"/>
    </row>
    <row r="35" spans="2:23" ht="12" customHeight="1" x14ac:dyDescent="0.25">
      <c r="B35" s="15">
        <f t="shared" si="10"/>
        <v>23</v>
      </c>
      <c r="C35" s="16">
        <f>4893+1334</f>
        <v>6227</v>
      </c>
      <c r="D35" s="82">
        <f>3386126.84+820707.97</f>
        <v>4206834.8099999996</v>
      </c>
      <c r="E35" s="10">
        <f t="shared" si="0"/>
        <v>675.57970290669653</v>
      </c>
      <c r="F35" s="11">
        <f t="shared" si="1"/>
        <v>0.81324278438030562</v>
      </c>
      <c r="G35" s="12">
        <f t="shared" si="6"/>
        <v>84</v>
      </c>
      <c r="H35" s="29">
        <f t="shared" si="7"/>
        <v>1150.5971428571336</v>
      </c>
      <c r="I35" s="31"/>
      <c r="J35" s="35">
        <v>3167</v>
      </c>
      <c r="K35" s="75">
        <v>1709381.78</v>
      </c>
      <c r="L35" s="10">
        <f t="shared" si="2"/>
        <v>539.74795705715189</v>
      </c>
      <c r="M35" s="11">
        <f t="shared" si="3"/>
        <v>0.42739541160593791</v>
      </c>
      <c r="N35" s="12">
        <f t="shared" si="8"/>
        <v>136</v>
      </c>
      <c r="O35" s="36">
        <f t="shared" si="12"/>
        <v>319.58926470588329</v>
      </c>
      <c r="P35" s="38"/>
      <c r="Q35" s="34">
        <v>1534</v>
      </c>
      <c r="R35" s="64">
        <v>708111.66</v>
      </c>
      <c r="S35" s="60">
        <f t="shared" si="4"/>
        <v>461.61125162972621</v>
      </c>
      <c r="T35" s="11">
        <f t="shared" si="5"/>
        <v>0.20033955857385399</v>
      </c>
      <c r="U35" s="14">
        <f t="shared" si="9"/>
        <v>6</v>
      </c>
      <c r="V35" s="36">
        <f t="shared" si="11"/>
        <v>775</v>
      </c>
      <c r="W35" s="42"/>
    </row>
    <row r="36" spans="2:23" ht="12" customHeight="1" x14ac:dyDescent="0.25">
      <c r="B36" s="15">
        <f t="shared" si="10"/>
        <v>24</v>
      </c>
      <c r="C36" s="16">
        <f>1216+5126</f>
        <v>6342</v>
      </c>
      <c r="D36" s="82">
        <f>3551134.93+752869.68</f>
        <v>4304004.6100000003</v>
      </c>
      <c r="E36" s="10">
        <f t="shared" si="0"/>
        <v>678.65099495427319</v>
      </c>
      <c r="F36" s="11">
        <f t="shared" si="1"/>
        <v>0.82826172130077058</v>
      </c>
      <c r="G36" s="12">
        <f t="shared" si="6"/>
        <v>115</v>
      </c>
      <c r="H36" s="29">
        <f t="shared" si="7"/>
        <v>844.95478260870209</v>
      </c>
      <c r="I36" s="31"/>
      <c r="J36" s="35">
        <v>3352</v>
      </c>
      <c r="K36" s="75">
        <v>1809466.97</v>
      </c>
      <c r="L36" s="10">
        <f t="shared" si="2"/>
        <v>539.81711515513121</v>
      </c>
      <c r="M36" s="11">
        <f t="shared" si="3"/>
        <v>0.452361673414305</v>
      </c>
      <c r="N36" s="12">
        <f t="shared" si="8"/>
        <v>185</v>
      </c>
      <c r="O36" s="36">
        <f t="shared" si="12"/>
        <v>541.00102702702668</v>
      </c>
      <c r="P36" s="38"/>
      <c r="Q36" s="34">
        <v>1538</v>
      </c>
      <c r="R36" s="64">
        <v>714194.86</v>
      </c>
      <c r="S36" s="60">
        <f t="shared" si="4"/>
        <v>464.36596879063717</v>
      </c>
      <c r="T36" s="11">
        <f t="shared" si="5"/>
        <v>0.20086195637978321</v>
      </c>
      <c r="U36" s="14">
        <f t="shared" si="9"/>
        <v>4</v>
      </c>
      <c r="V36" s="36">
        <f t="shared" si="11"/>
        <v>1520.7999999999884</v>
      </c>
      <c r="W36" s="42"/>
    </row>
    <row r="37" spans="2:23" ht="12" customHeight="1" x14ac:dyDescent="0.25">
      <c r="B37" s="15">
        <f t="shared" si="10"/>
        <v>25</v>
      </c>
      <c r="C37" s="16">
        <f>5340+1044</f>
        <v>6384</v>
      </c>
      <c r="D37" s="82">
        <f>649536.51+3708103.51</f>
        <v>4357640.0199999996</v>
      </c>
      <c r="E37" s="10">
        <f t="shared" si="0"/>
        <v>682.58772243107762</v>
      </c>
      <c r="F37" s="11">
        <f t="shared" si="1"/>
        <v>0.83374689826302728</v>
      </c>
      <c r="G37" s="12">
        <f t="shared" si="6"/>
        <v>42</v>
      </c>
      <c r="H37" s="29">
        <f t="shared" si="7"/>
        <v>1277.0335714285527</v>
      </c>
      <c r="I37" s="31"/>
      <c r="J37" s="35">
        <v>3412</v>
      </c>
      <c r="K37" s="75">
        <v>1856667.02</v>
      </c>
      <c r="L37" s="10">
        <f t="shared" si="2"/>
        <v>544.15797772567407</v>
      </c>
      <c r="M37" s="11">
        <f t="shared" si="3"/>
        <v>0.46045883940620785</v>
      </c>
      <c r="N37" s="12">
        <f t="shared" si="8"/>
        <v>60</v>
      </c>
      <c r="O37" s="36">
        <f t="shared" si="12"/>
        <v>786.66750000000081</v>
      </c>
      <c r="P37" s="38"/>
      <c r="Q37" s="34">
        <v>1553</v>
      </c>
      <c r="R37" s="64">
        <v>723178.16</v>
      </c>
      <c r="S37" s="60">
        <f t="shared" si="4"/>
        <v>465.66526722472634</v>
      </c>
      <c r="T37" s="11">
        <f t="shared" si="5"/>
        <v>0.20282094815201776</v>
      </c>
      <c r="U37" s="14">
        <f t="shared" si="9"/>
        <v>15</v>
      </c>
      <c r="V37" s="36">
        <f t="shared" si="11"/>
        <v>598.88666666666973</v>
      </c>
      <c r="W37" s="42"/>
    </row>
    <row r="38" spans="2:23" ht="12" customHeight="1" x14ac:dyDescent="0.25">
      <c r="B38" s="15">
        <f t="shared" si="10"/>
        <v>26</v>
      </c>
      <c r="C38" s="16">
        <f>5521+855</f>
        <v>6376</v>
      </c>
      <c r="D38" s="82">
        <f>3830510.94+536330.77</f>
        <v>4366841.71</v>
      </c>
      <c r="E38" s="10">
        <f t="shared" si="0"/>
        <v>684.8873447302384</v>
      </c>
      <c r="F38" s="11">
        <f t="shared" si="1"/>
        <v>0.83270210265116884</v>
      </c>
      <c r="G38" s="12">
        <f t="shared" si="6"/>
        <v>-8</v>
      </c>
      <c r="H38" s="36">
        <f t="shared" si="7"/>
        <v>-1150.2112500000512</v>
      </c>
      <c r="I38" s="31"/>
      <c r="J38" s="35">
        <v>3412</v>
      </c>
      <c r="K38" s="75">
        <v>1862044.63</v>
      </c>
      <c r="L38" s="10">
        <f t="shared" si="2"/>
        <v>545.73406506447827</v>
      </c>
      <c r="M38" s="11">
        <f t="shared" si="3"/>
        <v>0.46045883940620785</v>
      </c>
      <c r="N38" s="12">
        <f t="shared" si="8"/>
        <v>0</v>
      </c>
      <c r="O38" s="36" t="e">
        <f t="shared" si="12"/>
        <v>#DIV/0!</v>
      </c>
      <c r="P38" s="38"/>
      <c r="Q38" s="34">
        <v>1605</v>
      </c>
      <c r="R38" s="64">
        <v>741938.18</v>
      </c>
      <c r="S38" s="60">
        <f t="shared" si="4"/>
        <v>462.26677881619941</v>
      </c>
      <c r="T38" s="11">
        <f t="shared" si="5"/>
        <v>0.20961211962909757</v>
      </c>
      <c r="U38" s="14">
        <f t="shared" si="9"/>
        <v>52</v>
      </c>
      <c r="V38" s="36">
        <f t="shared" si="11"/>
        <v>360.76961538461575</v>
      </c>
      <c r="W38" s="42"/>
    </row>
    <row r="39" spans="2:23" ht="12" customHeight="1" x14ac:dyDescent="0.25">
      <c r="B39" s="15">
        <f t="shared" si="10"/>
        <v>27</v>
      </c>
      <c r="C39" s="16">
        <f>5680+708</f>
        <v>6388</v>
      </c>
      <c r="D39" s="82">
        <f>452577.19+3943715.26</f>
        <v>4396292.45</v>
      </c>
      <c r="E39" s="10">
        <f t="shared" si="0"/>
        <v>688.21109110832811</v>
      </c>
      <c r="F39" s="11">
        <f t="shared" si="1"/>
        <v>0.8342692960689565</v>
      </c>
      <c r="G39" s="12">
        <f t="shared" si="6"/>
        <v>12</v>
      </c>
      <c r="H39" s="36">
        <f t="shared" si="7"/>
        <v>2454.2283333333521</v>
      </c>
      <c r="I39" s="31"/>
      <c r="J39" s="35">
        <v>3561</v>
      </c>
      <c r="K39" s="75">
        <v>1956688.46</v>
      </c>
      <c r="L39" s="10">
        <f t="shared" si="2"/>
        <v>549.47724234765519</v>
      </c>
      <c r="M39" s="11">
        <f t="shared" si="3"/>
        <v>0.48056680161943321</v>
      </c>
      <c r="N39" s="12">
        <f t="shared" si="8"/>
        <v>149</v>
      </c>
      <c r="O39" s="36">
        <f>(K39-K38)/N39</f>
        <v>635.19348993288645</v>
      </c>
      <c r="P39" s="38"/>
      <c r="Q39" s="34">
        <v>1607</v>
      </c>
      <c r="R39" s="64">
        <v>742821.52</v>
      </c>
      <c r="S39" s="60">
        <f t="shared" si="4"/>
        <v>462.24114499066587</v>
      </c>
      <c r="T39" s="11">
        <f t="shared" si="5"/>
        <v>0.20987331853206218</v>
      </c>
      <c r="U39" s="14">
        <f t="shared" si="9"/>
        <v>2</v>
      </c>
      <c r="V39" s="36">
        <f>(R39-R38)/-U39</f>
        <v>-441.6699999999837</v>
      </c>
      <c r="W39" s="42"/>
    </row>
    <row r="40" spans="2:23" ht="12" customHeight="1" x14ac:dyDescent="0.25">
      <c r="B40" s="15">
        <f t="shared" si="10"/>
        <v>28</v>
      </c>
      <c r="C40" s="16">
        <f>5873+570</f>
        <v>6443</v>
      </c>
      <c r="D40" s="82">
        <f>4085607.95+363733.55</f>
        <v>4449341.5</v>
      </c>
      <c r="E40" s="10">
        <f t="shared" si="0"/>
        <v>690.56984324072641</v>
      </c>
      <c r="F40" s="11">
        <f t="shared" si="1"/>
        <v>0.84145226590048317</v>
      </c>
      <c r="G40" s="12">
        <f t="shared" si="6"/>
        <v>55</v>
      </c>
      <c r="H40" s="36">
        <f t="shared" si="7"/>
        <v>964.52818181817838</v>
      </c>
      <c r="I40" s="31"/>
      <c r="J40" s="35">
        <v>3850</v>
      </c>
      <c r="K40" s="75">
        <v>2125117.6</v>
      </c>
      <c r="L40" s="10">
        <f t="shared" si="2"/>
        <v>551.97859740259742</v>
      </c>
      <c r="M40" s="11">
        <f t="shared" si="3"/>
        <v>0.51956815114709853</v>
      </c>
      <c r="N40" s="12">
        <f t="shared" si="8"/>
        <v>289</v>
      </c>
      <c r="O40" s="36">
        <f t="shared" si="12"/>
        <v>582.79979238754368</v>
      </c>
      <c r="P40" s="38"/>
      <c r="Q40" s="34">
        <v>1610</v>
      </c>
      <c r="R40" s="64">
        <v>743904.86</v>
      </c>
      <c r="S40" s="60">
        <f t="shared" si="4"/>
        <v>462.05270807453417</v>
      </c>
      <c r="T40" s="11">
        <f t="shared" si="5"/>
        <v>0.21026511688650909</v>
      </c>
      <c r="U40" s="14">
        <f t="shared" si="9"/>
        <v>3</v>
      </c>
      <c r="V40" s="36">
        <f>(R40-R39)/-U40</f>
        <v>-361.11333333332249</v>
      </c>
      <c r="W40" s="42"/>
    </row>
    <row r="41" spans="2:23" ht="12" customHeight="1" x14ac:dyDescent="0.25">
      <c r="B41" s="15">
        <f t="shared" si="10"/>
        <v>29</v>
      </c>
      <c r="C41" s="16">
        <f>6076+390</f>
        <v>6466</v>
      </c>
      <c r="D41" s="82">
        <f>244263.5+4239362.38</f>
        <v>4483625.88</v>
      </c>
      <c r="E41" s="10">
        <f t="shared" si="0"/>
        <v>693.41569440148464</v>
      </c>
      <c r="F41" s="11">
        <f t="shared" si="1"/>
        <v>0.84445605328457618</v>
      </c>
      <c r="G41" s="12">
        <f t="shared" si="6"/>
        <v>23</v>
      </c>
      <c r="H41" s="29">
        <f t="shared" si="7"/>
        <v>1490.6252173912994</v>
      </c>
      <c r="I41" s="31">
        <v>0</v>
      </c>
      <c r="J41" s="35">
        <v>4040</v>
      </c>
      <c r="K41" s="75">
        <v>2220939.17</v>
      </c>
      <c r="L41" s="10">
        <f t="shared" si="2"/>
        <v>549.73741831683162</v>
      </c>
      <c r="M41" s="11">
        <f t="shared" si="3"/>
        <v>0.54520917678812419</v>
      </c>
      <c r="N41" s="12">
        <f t="shared" si="8"/>
        <v>190</v>
      </c>
      <c r="O41" s="36">
        <f t="shared" si="12"/>
        <v>504.32405263157807</v>
      </c>
      <c r="P41" s="38"/>
      <c r="Q41" s="34">
        <v>1619</v>
      </c>
      <c r="R41" s="64">
        <v>750254.86</v>
      </c>
      <c r="S41" s="60">
        <f t="shared" si="4"/>
        <v>463.40633724521308</v>
      </c>
      <c r="T41" s="11">
        <f t="shared" si="5"/>
        <v>0.21144051194984981</v>
      </c>
      <c r="U41" s="14">
        <f t="shared" si="9"/>
        <v>9</v>
      </c>
      <c r="V41" s="36">
        <f>(R41-R40)/U41</f>
        <v>705.55555555555554</v>
      </c>
      <c r="W41" s="42"/>
    </row>
    <row r="42" spans="2:23" ht="12" customHeight="1" x14ac:dyDescent="0.25">
      <c r="B42" s="15">
        <v>30</v>
      </c>
      <c r="C42" s="16">
        <f>190+6286</f>
        <v>6476</v>
      </c>
      <c r="D42" s="82">
        <f>115180.14+4408021.82</f>
        <v>4523201.96</v>
      </c>
      <c r="E42" s="10">
        <f t="shared" si="0"/>
        <v>698.45613959234095</v>
      </c>
      <c r="F42" s="11">
        <f t="shared" si="1"/>
        <v>0.84576204779939923</v>
      </c>
      <c r="G42" s="12">
        <f t="shared" si="6"/>
        <v>10</v>
      </c>
      <c r="H42" s="29">
        <f t="shared" si="7"/>
        <v>3957.6080000000075</v>
      </c>
      <c r="I42" s="31"/>
      <c r="J42" s="35">
        <v>4211</v>
      </c>
      <c r="K42" s="75">
        <v>2324652.25</v>
      </c>
      <c r="L42" s="10">
        <f t="shared" si="2"/>
        <v>552.04280455948708</v>
      </c>
      <c r="M42" s="11">
        <f t="shared" si="3"/>
        <v>0.56828609986504719</v>
      </c>
      <c r="N42" s="12">
        <f t="shared" si="8"/>
        <v>171</v>
      </c>
      <c r="O42" s="36">
        <f t="shared" si="12"/>
        <v>606.50923976608226</v>
      </c>
      <c r="P42" s="38"/>
      <c r="Q42" s="34">
        <v>1649</v>
      </c>
      <c r="R42" s="64">
        <v>764454.94</v>
      </c>
      <c r="S42" s="60">
        <f t="shared" si="4"/>
        <v>463.58698605215278</v>
      </c>
      <c r="T42" s="11">
        <f t="shared" si="5"/>
        <v>0.21535849549431893</v>
      </c>
      <c r="U42" s="14">
        <f t="shared" si="9"/>
        <v>30</v>
      </c>
      <c r="V42" s="36">
        <f>(R42-R41)/U42</f>
        <v>473.33599999999859</v>
      </c>
      <c r="W42" s="42"/>
    </row>
    <row r="43" spans="2:23" ht="11.25" customHeight="1" thickBot="1" x14ac:dyDescent="0.3">
      <c r="B43" s="17">
        <v>31</v>
      </c>
      <c r="C43" s="18">
        <v>6495</v>
      </c>
      <c r="D43" s="85">
        <v>4575375.37</v>
      </c>
      <c r="E43" s="19">
        <f t="shared" si="0"/>
        <v>704.44578444957665</v>
      </c>
      <c r="F43" s="20">
        <f t="shared" si="1"/>
        <v>0.84824343737756303</v>
      </c>
      <c r="G43" s="89">
        <f t="shared" si="6"/>
        <v>19</v>
      </c>
      <c r="H43" s="90">
        <f t="shared" si="7"/>
        <v>2745.9689473684289</v>
      </c>
      <c r="I43" s="32"/>
      <c r="J43" s="37">
        <v>4276</v>
      </c>
      <c r="K43" s="80">
        <v>2357750.59</v>
      </c>
      <c r="L43" s="19">
        <f t="shared" si="2"/>
        <v>551.39162535079515</v>
      </c>
      <c r="M43" s="20">
        <f t="shared" si="3"/>
        <v>0.57705802968960862</v>
      </c>
      <c r="N43" s="89">
        <f t="shared" si="8"/>
        <v>65</v>
      </c>
      <c r="O43" s="91">
        <f t="shared" si="12"/>
        <v>509.20523076922848</v>
      </c>
      <c r="P43" s="39"/>
      <c r="Q43" s="37">
        <v>1655</v>
      </c>
      <c r="R43" s="88">
        <v>768338.28</v>
      </c>
      <c r="S43" s="92">
        <f t="shared" si="4"/>
        <v>464.25273716012089</v>
      </c>
      <c r="T43" s="20">
        <f t="shared" si="5"/>
        <v>0.21614209220321276</v>
      </c>
      <c r="U43" s="93">
        <f>Q43-Q42</f>
        <v>6</v>
      </c>
      <c r="V43" s="91">
        <f>(R43-R42)/U43</f>
        <v>647.22333333334734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</sheetData>
  <mergeCells count="13">
    <mergeCell ref="B10:V10"/>
    <mergeCell ref="N3:Q3"/>
    <mergeCell ref="N4:Q4"/>
    <mergeCell ref="R3:V3"/>
    <mergeCell ref="R4:V4"/>
    <mergeCell ref="B5:W5"/>
    <mergeCell ref="B6:H6"/>
    <mergeCell ref="J6:O6"/>
    <mergeCell ref="Q6:V6"/>
    <mergeCell ref="F8:G8"/>
    <mergeCell ref="M8:N8"/>
    <mergeCell ref="T8:U8"/>
    <mergeCell ref="V8:W8"/>
  </mergeCells>
  <phoneticPr fontId="0" type="noConversion"/>
  <printOptions horizontalCentered="1"/>
  <pageMargins left="0.25" right="0.14000000000000001" top="0.15" bottom="0.25" header="0.5" footer="0.5"/>
  <pageSetup scale="9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Y46"/>
  <sheetViews>
    <sheetView topLeftCell="B1" zoomScaleSheetLayoutView="100" workbookViewId="0">
      <selection activeCell="B12" sqref="B12:V12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8.28515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4" spans="1:25" ht="14.25" x14ac:dyDescent="0.3">
      <c r="N4" s="132" t="s">
        <v>27</v>
      </c>
      <c r="O4" s="132"/>
      <c r="P4" s="132"/>
      <c r="Q4" s="132"/>
      <c r="R4" s="148"/>
      <c r="S4" s="148"/>
      <c r="T4" s="148"/>
      <c r="U4" s="148"/>
      <c r="V4" s="148"/>
    </row>
    <row r="5" spans="1:25" ht="14.25" x14ac:dyDescent="0.3">
      <c r="N5" s="133" t="s">
        <v>28</v>
      </c>
      <c r="O5" s="133"/>
      <c r="P5" s="133"/>
      <c r="Q5" s="133"/>
      <c r="R5" s="148"/>
      <c r="S5" s="148"/>
      <c r="T5" s="148"/>
      <c r="U5" s="148"/>
      <c r="V5" s="148"/>
    </row>
    <row r="7" spans="1:25" ht="16.5" customHeight="1" x14ac:dyDescent="0.3">
      <c r="B7" s="150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2"/>
      <c r="Y7" s="56"/>
    </row>
    <row r="8" spans="1:25" ht="17.25" customHeight="1" thickBot="1" x14ac:dyDescent="0.35">
      <c r="A8" s="1" t="s">
        <v>13</v>
      </c>
      <c r="B8" s="138" t="s">
        <v>23</v>
      </c>
      <c r="C8" s="139"/>
      <c r="D8" s="139"/>
      <c r="E8" s="139"/>
      <c r="F8" s="139"/>
      <c r="G8" s="139"/>
      <c r="H8" s="140"/>
      <c r="I8" s="104"/>
      <c r="J8" s="141" t="s">
        <v>14</v>
      </c>
      <c r="K8" s="142"/>
      <c r="L8" s="142"/>
      <c r="M8" s="142"/>
      <c r="N8" s="142"/>
      <c r="O8" s="143"/>
      <c r="P8" s="104"/>
      <c r="Q8" s="141" t="s">
        <v>13</v>
      </c>
      <c r="R8" s="142"/>
      <c r="S8" s="142"/>
      <c r="T8" s="142"/>
      <c r="U8" s="142"/>
      <c r="V8" s="143"/>
      <c r="W8" s="67"/>
    </row>
    <row r="9" spans="1:25" ht="12.75" customHeight="1" x14ac:dyDescent="0.3">
      <c r="B9" s="23"/>
      <c r="C9" s="24" t="s">
        <v>12</v>
      </c>
      <c r="D9" s="76"/>
      <c r="E9" s="13">
        <v>5805</v>
      </c>
      <c r="F9" s="25"/>
      <c r="G9" s="13" t="s">
        <v>6</v>
      </c>
      <c r="H9" s="58">
        <v>657.06</v>
      </c>
      <c r="I9" s="4"/>
      <c r="J9" s="24" t="s">
        <v>12</v>
      </c>
      <c r="K9" s="76"/>
      <c r="L9" s="13">
        <v>6050</v>
      </c>
      <c r="M9" s="25"/>
      <c r="N9" s="13" t="s">
        <v>6</v>
      </c>
      <c r="O9" s="65">
        <v>554.09</v>
      </c>
      <c r="P9" s="67"/>
      <c r="Q9" s="24" t="s">
        <v>12</v>
      </c>
      <c r="R9" s="76"/>
      <c r="S9" s="13">
        <v>5820</v>
      </c>
      <c r="T9" s="25"/>
      <c r="U9" s="13" t="s">
        <v>6</v>
      </c>
      <c r="V9" s="94">
        <v>456.45</v>
      </c>
      <c r="W9" s="67"/>
    </row>
    <row r="10" spans="1:25" ht="12" customHeight="1" x14ac:dyDescent="0.3">
      <c r="B10" s="2"/>
      <c r="C10" s="6" t="s">
        <v>5</v>
      </c>
      <c r="D10" s="77"/>
      <c r="E10" s="22">
        <v>0.78300000000000003</v>
      </c>
      <c r="F10" s="128" t="s">
        <v>7</v>
      </c>
      <c r="G10" s="129"/>
      <c r="H10" s="7">
        <v>3814250</v>
      </c>
      <c r="I10" s="4"/>
      <c r="J10" s="6" t="s">
        <v>5</v>
      </c>
      <c r="K10" s="77"/>
      <c r="L10" s="22">
        <v>0.79</v>
      </c>
      <c r="M10" s="128" t="s">
        <v>7</v>
      </c>
      <c r="N10" s="129"/>
      <c r="O10" s="153">
        <v>3352250</v>
      </c>
      <c r="P10" s="154"/>
      <c r="Q10" s="6" t="s">
        <v>5</v>
      </c>
      <c r="R10" s="77"/>
      <c r="S10" s="22">
        <v>0.78500000000000003</v>
      </c>
      <c r="T10" s="128" t="s">
        <v>7</v>
      </c>
      <c r="U10" s="144"/>
      <c r="V10" s="153">
        <v>2656525</v>
      </c>
      <c r="W10" s="154"/>
    </row>
    <row r="11" spans="1:25" ht="11.25" customHeight="1" x14ac:dyDescent="0.3">
      <c r="B11" s="2"/>
      <c r="C11" s="6" t="s">
        <v>11</v>
      </c>
      <c r="D11" s="77"/>
      <c r="E11" s="7">
        <v>7410</v>
      </c>
      <c r="F11" s="3"/>
      <c r="G11" s="3"/>
      <c r="H11" s="59"/>
      <c r="I11" s="4"/>
      <c r="J11" s="6" t="s">
        <v>11</v>
      </c>
      <c r="K11" s="77"/>
      <c r="L11" s="7">
        <f>247*31</f>
        <v>7657</v>
      </c>
      <c r="M11" s="3"/>
      <c r="N11" s="3"/>
      <c r="O11" s="59"/>
      <c r="P11" s="66"/>
      <c r="Q11" s="6" t="s">
        <v>11</v>
      </c>
      <c r="R11" s="77"/>
      <c r="S11" s="7">
        <v>7410</v>
      </c>
      <c r="T11" s="3"/>
      <c r="U11" s="3"/>
      <c r="V11" s="59"/>
      <c r="W11" s="67"/>
    </row>
    <row r="12" spans="1:25" ht="17.25" customHeight="1" thickBot="1" x14ac:dyDescent="0.35">
      <c r="B12" s="130" t="s">
        <v>30</v>
      </c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74"/>
      <c r="X12" s="69"/>
      <c r="Y12" s="56"/>
    </row>
    <row r="13" spans="1:25" ht="39" customHeight="1" x14ac:dyDescent="0.25">
      <c r="B13" s="26" t="s">
        <v>0</v>
      </c>
      <c r="C13" s="27" t="s">
        <v>1</v>
      </c>
      <c r="D13" s="78" t="s">
        <v>8</v>
      </c>
      <c r="E13" s="27" t="s">
        <v>2</v>
      </c>
      <c r="F13" s="27" t="s">
        <v>3</v>
      </c>
      <c r="G13" s="27" t="s">
        <v>4</v>
      </c>
      <c r="H13" s="28" t="s">
        <v>9</v>
      </c>
      <c r="I13" s="30"/>
      <c r="J13" s="33" t="s">
        <v>1</v>
      </c>
      <c r="K13" s="78" t="s">
        <v>8</v>
      </c>
      <c r="L13" s="27" t="s">
        <v>2</v>
      </c>
      <c r="M13" s="27" t="s">
        <v>3</v>
      </c>
      <c r="N13" s="27" t="s">
        <v>4</v>
      </c>
      <c r="O13" s="28" t="s">
        <v>9</v>
      </c>
      <c r="P13" s="30"/>
      <c r="Q13" s="70" t="s">
        <v>1</v>
      </c>
      <c r="R13" s="87" t="s">
        <v>8</v>
      </c>
      <c r="S13" s="71" t="s">
        <v>2</v>
      </c>
      <c r="T13" s="71" t="s">
        <v>3</v>
      </c>
      <c r="U13" s="71" t="s">
        <v>4</v>
      </c>
      <c r="V13" s="72" t="s">
        <v>10</v>
      </c>
      <c r="W13" s="73"/>
      <c r="X13" s="56"/>
    </row>
    <row r="14" spans="1:25" ht="12" customHeight="1" x14ac:dyDescent="0.25">
      <c r="B14" s="105"/>
      <c r="C14" s="106">
        <v>304</v>
      </c>
      <c r="D14" s="110">
        <v>304</v>
      </c>
      <c r="E14" s="106">
        <v>304</v>
      </c>
      <c r="F14" s="106">
        <v>304</v>
      </c>
      <c r="G14" s="106">
        <v>304</v>
      </c>
      <c r="H14" s="107">
        <v>304</v>
      </c>
      <c r="I14" s="108">
        <v>304</v>
      </c>
      <c r="J14" s="109">
        <v>304</v>
      </c>
      <c r="K14" s="110">
        <v>304</v>
      </c>
      <c r="L14" s="106">
        <v>304</v>
      </c>
      <c r="M14" s="106">
        <v>304</v>
      </c>
      <c r="N14" s="106">
        <v>304</v>
      </c>
      <c r="O14" s="107">
        <v>304</v>
      </c>
      <c r="P14" s="108">
        <v>304</v>
      </c>
      <c r="Q14" s="109">
        <v>304</v>
      </c>
      <c r="R14" s="110">
        <v>304</v>
      </c>
      <c r="S14" s="106">
        <v>304</v>
      </c>
      <c r="T14" s="106">
        <v>304</v>
      </c>
      <c r="U14" s="107">
        <v>304</v>
      </c>
      <c r="V14" s="107">
        <v>304</v>
      </c>
      <c r="W14" s="41"/>
    </row>
    <row r="15" spans="1:25" ht="11.25" customHeight="1" x14ac:dyDescent="0.25">
      <c r="B15" s="8">
        <v>1</v>
      </c>
      <c r="C15" s="9">
        <f>4169+216</f>
        <v>4385</v>
      </c>
      <c r="D15" s="55">
        <f>2306974.83+146376.21</f>
        <v>2453351.04</v>
      </c>
      <c r="E15" s="10">
        <f t="shared" ref="E15:E45" si="0">D15/C15</f>
        <v>559.48712428734325</v>
      </c>
      <c r="F15" s="11">
        <f t="shared" ref="F15:F45" si="1">C15/$E$11</f>
        <v>0.59176788124156543</v>
      </c>
      <c r="G15" s="12">
        <v>109</v>
      </c>
      <c r="H15" s="29">
        <v>877.06799999999998</v>
      </c>
      <c r="I15" s="31"/>
      <c r="J15" s="52">
        <v>1660</v>
      </c>
      <c r="K15" s="79">
        <v>769188.28</v>
      </c>
      <c r="L15" s="10">
        <f t="shared" ref="L15:L45" si="2">K15/J15</f>
        <v>463.36643373493979</v>
      </c>
      <c r="M15" s="11">
        <f t="shared" ref="M15:M45" si="3">J15/$L$11</f>
        <v>0.21679508946062426</v>
      </c>
      <c r="N15" s="14">
        <v>5</v>
      </c>
      <c r="O15" s="36">
        <v>170</v>
      </c>
      <c r="P15" s="38"/>
      <c r="Q15" s="34">
        <v>477</v>
      </c>
      <c r="R15" s="64">
        <v>125697.57</v>
      </c>
      <c r="S15" s="60">
        <f t="shared" ref="S15:S45" si="4">R15/Q15</f>
        <v>263.51691823899375</v>
      </c>
      <c r="T15" s="11">
        <f t="shared" ref="T15:T45" si="5">Q15/$S$11</f>
        <v>6.4372469635627524E-2</v>
      </c>
      <c r="U15" s="14">
        <v>5</v>
      </c>
      <c r="V15" s="36">
        <v>620</v>
      </c>
      <c r="W15" s="42"/>
    </row>
    <row r="16" spans="1:25" ht="12" customHeight="1" x14ac:dyDescent="0.25">
      <c r="B16" s="15">
        <f>B15+1</f>
        <v>2</v>
      </c>
      <c r="C16" s="16">
        <f>4188+394</f>
        <v>4582</v>
      </c>
      <c r="D16" s="75">
        <f>2340333.17+259893.45</f>
        <v>2600226.62</v>
      </c>
      <c r="E16" s="10">
        <f t="shared" si="0"/>
        <v>567.48725883893496</v>
      </c>
      <c r="F16" s="11">
        <f t="shared" si="1"/>
        <v>0.61835357624831311</v>
      </c>
      <c r="G16" s="12">
        <f t="shared" ref="G16:G44" si="6">(C16-C15)</f>
        <v>197</v>
      </c>
      <c r="H16" s="29">
        <f t="shared" ref="H16:H45" si="7">(D16-D15)/G16</f>
        <v>745.56131979695465</v>
      </c>
      <c r="I16" s="31"/>
      <c r="J16" s="35">
        <v>1676</v>
      </c>
      <c r="K16" s="75">
        <v>774605.35</v>
      </c>
      <c r="L16" s="10">
        <f t="shared" si="2"/>
        <v>462.17502983293554</v>
      </c>
      <c r="M16" s="11">
        <f t="shared" si="3"/>
        <v>0.21888468068434114</v>
      </c>
      <c r="N16" s="12">
        <f t="shared" ref="N16:N44" si="8">(J16-J15)</f>
        <v>16</v>
      </c>
      <c r="O16" s="36">
        <f>-(K16-K15)/-N16</f>
        <v>338.5668749999968</v>
      </c>
      <c r="P16" s="38"/>
      <c r="Q16" s="34">
        <v>480</v>
      </c>
      <c r="R16" s="75">
        <v>126782.57</v>
      </c>
      <c r="S16" s="10">
        <f t="shared" si="4"/>
        <v>264.13035416666668</v>
      </c>
      <c r="T16" s="11">
        <f t="shared" si="5"/>
        <v>6.4777327935222673E-2</v>
      </c>
      <c r="U16" s="14">
        <f>Q16-Q15</f>
        <v>3</v>
      </c>
      <c r="V16" s="36">
        <f>(R16-R15)/U16</f>
        <v>361.66666666666669</v>
      </c>
      <c r="W16" s="42"/>
    </row>
    <row r="17" spans="2:23" ht="12" customHeight="1" x14ac:dyDescent="0.25">
      <c r="B17" s="15">
        <f>B16+1</f>
        <v>3</v>
      </c>
      <c r="C17" s="16">
        <f>548+4104</f>
        <v>4652</v>
      </c>
      <c r="D17" s="75">
        <f>364596.15+2353338.32</f>
        <v>2717934.4699999997</v>
      </c>
      <c r="E17" s="10">
        <f t="shared" si="0"/>
        <v>584.25074591573514</v>
      </c>
      <c r="F17" s="11">
        <f t="shared" si="1"/>
        <v>0.62780026990553306</v>
      </c>
      <c r="G17" s="12">
        <f t="shared" si="6"/>
        <v>70</v>
      </c>
      <c r="H17" s="29">
        <f t="shared" si="7"/>
        <v>1681.5407142857089</v>
      </c>
      <c r="I17" s="31"/>
      <c r="J17" s="35">
        <v>1684</v>
      </c>
      <c r="K17" s="75">
        <v>779138.65</v>
      </c>
      <c r="L17" s="10">
        <f t="shared" si="2"/>
        <v>462.67140736342043</v>
      </c>
      <c r="M17" s="11">
        <f t="shared" si="3"/>
        <v>0.21992947629619955</v>
      </c>
      <c r="N17" s="12">
        <f t="shared" si="8"/>
        <v>8</v>
      </c>
      <c r="O17" s="36">
        <f>-(K17-K16)/-N17</f>
        <v>566.66250000000582</v>
      </c>
      <c r="P17" s="38"/>
      <c r="Q17" s="34">
        <v>480</v>
      </c>
      <c r="R17" s="64">
        <v>126782.57</v>
      </c>
      <c r="S17" s="60">
        <f t="shared" si="4"/>
        <v>264.13035416666668</v>
      </c>
      <c r="T17" s="11">
        <f t="shared" si="5"/>
        <v>6.4777327935222673E-2</v>
      </c>
      <c r="U17" s="14">
        <v>0</v>
      </c>
      <c r="V17" s="36">
        <v>0</v>
      </c>
      <c r="W17" s="42"/>
    </row>
    <row r="18" spans="2:23" ht="12" customHeight="1" x14ac:dyDescent="0.25">
      <c r="B18" s="15">
        <v>4</v>
      </c>
      <c r="C18" s="16">
        <f>3908+744</f>
        <v>4652</v>
      </c>
      <c r="D18" s="75">
        <f>2258580.62+505584.48</f>
        <v>2764165.1</v>
      </c>
      <c r="E18" s="10">
        <f t="shared" si="0"/>
        <v>594.18854256233885</v>
      </c>
      <c r="F18" s="11">
        <f t="shared" si="1"/>
        <v>0.62780026990553306</v>
      </c>
      <c r="G18" s="12">
        <f t="shared" si="6"/>
        <v>0</v>
      </c>
      <c r="H18" s="29">
        <v>0</v>
      </c>
      <c r="I18" s="31"/>
      <c r="J18" s="35">
        <v>1701</v>
      </c>
      <c r="K18" s="75">
        <v>787609.49</v>
      </c>
      <c r="L18" s="10">
        <f t="shared" si="2"/>
        <v>463.02733098177544</v>
      </c>
      <c r="M18" s="11">
        <f t="shared" si="3"/>
        <v>0.22214966697139871</v>
      </c>
      <c r="N18" s="12">
        <f t="shared" si="8"/>
        <v>17</v>
      </c>
      <c r="O18" s="36">
        <f>-(K18-K17)/-N18</f>
        <v>498.28470588235103</v>
      </c>
      <c r="P18" s="38"/>
      <c r="Q18" s="34">
        <v>480</v>
      </c>
      <c r="R18" s="64">
        <v>126782.57</v>
      </c>
      <c r="S18" s="60">
        <f t="shared" si="4"/>
        <v>264.13035416666668</v>
      </c>
      <c r="T18" s="11">
        <f t="shared" si="5"/>
        <v>6.4777327935222673E-2</v>
      </c>
      <c r="U18" s="14">
        <v>0</v>
      </c>
      <c r="V18" s="36">
        <v>0</v>
      </c>
      <c r="W18" s="42"/>
    </row>
    <row r="19" spans="2:23" ht="12" customHeight="1" x14ac:dyDescent="0.25">
      <c r="B19" s="15">
        <f t="shared" ref="B19:B43" si="9">B18+1</f>
        <v>5</v>
      </c>
      <c r="C19" s="16">
        <f>973+3755</f>
        <v>4728</v>
      </c>
      <c r="D19" s="82">
        <f>2163134.6+663146.41</f>
        <v>2826281.0100000002</v>
      </c>
      <c r="E19" s="10">
        <f t="shared" si="0"/>
        <v>597.77517131979698</v>
      </c>
      <c r="F19" s="11">
        <f t="shared" si="1"/>
        <v>0.63805668016194328</v>
      </c>
      <c r="G19" s="12">
        <f t="shared" si="6"/>
        <v>76</v>
      </c>
      <c r="H19" s="29">
        <f t="shared" si="7"/>
        <v>817.31460526315982</v>
      </c>
      <c r="I19" s="31"/>
      <c r="J19" s="35">
        <v>1718</v>
      </c>
      <c r="K19" s="75">
        <v>799392.86</v>
      </c>
      <c r="L19" s="10">
        <f t="shared" si="2"/>
        <v>465.30434225844004</v>
      </c>
      <c r="M19" s="11">
        <f t="shared" si="3"/>
        <v>0.22436985764659789</v>
      </c>
      <c r="N19" s="12">
        <f t="shared" si="8"/>
        <v>17</v>
      </c>
      <c r="O19" s="36">
        <f>(K19-K18)/N19</f>
        <v>693.13941176470564</v>
      </c>
      <c r="P19" s="38"/>
      <c r="Q19" s="34">
        <v>482</v>
      </c>
      <c r="R19" s="64">
        <v>127277.57</v>
      </c>
      <c r="S19" s="60">
        <f t="shared" si="4"/>
        <v>264.06134854771784</v>
      </c>
      <c r="T19" s="11">
        <f t="shared" si="5"/>
        <v>6.50472334682861E-2</v>
      </c>
      <c r="U19" s="14">
        <f>Q19-Q18</f>
        <v>2</v>
      </c>
      <c r="V19" s="36">
        <f>(R19-R18)/U19</f>
        <v>247.5</v>
      </c>
      <c r="W19" s="42"/>
    </row>
    <row r="20" spans="2:23" ht="12" customHeight="1" x14ac:dyDescent="0.25">
      <c r="B20" s="15">
        <f t="shared" si="9"/>
        <v>6</v>
      </c>
      <c r="C20" s="16">
        <f>1210+3632</f>
        <v>4842</v>
      </c>
      <c r="D20" s="82">
        <f>2149818.7+839982.57</f>
        <v>2989801.27</v>
      </c>
      <c r="E20" s="10">
        <f t="shared" si="0"/>
        <v>617.47238124741841</v>
      </c>
      <c r="F20" s="11">
        <f t="shared" si="1"/>
        <v>0.65344129554655872</v>
      </c>
      <c r="G20" s="12">
        <f t="shared" si="6"/>
        <v>114</v>
      </c>
      <c r="H20" s="29">
        <f t="shared" si="7"/>
        <v>1434.3882456140332</v>
      </c>
      <c r="I20" s="31">
        <v>0</v>
      </c>
      <c r="J20" s="35">
        <v>1750</v>
      </c>
      <c r="K20" s="75">
        <v>813378.71</v>
      </c>
      <c r="L20" s="10">
        <f t="shared" si="2"/>
        <v>464.78783428571427</v>
      </c>
      <c r="M20" s="11">
        <f t="shared" si="3"/>
        <v>0.2285490400940316</v>
      </c>
      <c r="N20" s="12">
        <f t="shared" si="8"/>
        <v>32</v>
      </c>
      <c r="O20" s="36">
        <f>(K20-K19)/N20</f>
        <v>437.05781249999927</v>
      </c>
      <c r="P20" s="38"/>
      <c r="Q20" s="34">
        <v>485</v>
      </c>
      <c r="R20" s="64">
        <v>127827.57</v>
      </c>
      <c r="S20" s="60">
        <f t="shared" si="4"/>
        <v>263.56200000000001</v>
      </c>
      <c r="T20" s="11">
        <f t="shared" si="5"/>
        <v>6.5452091767881235E-2</v>
      </c>
      <c r="U20" s="14">
        <f>Q20-Q19</f>
        <v>3</v>
      </c>
      <c r="V20" s="36">
        <f t="shared" ref="V20:V40" si="10">(R20-R19)/U20</f>
        <v>183.33333333333334</v>
      </c>
      <c r="W20" s="42"/>
    </row>
    <row r="21" spans="2:23" ht="12" customHeight="1" x14ac:dyDescent="0.25">
      <c r="B21" s="15">
        <f t="shared" si="9"/>
        <v>7</v>
      </c>
      <c r="C21" s="16">
        <f>3609+1457</f>
        <v>5066</v>
      </c>
      <c r="D21" s="82">
        <f>2139687.88+1022498.16</f>
        <v>3162186.04</v>
      </c>
      <c r="E21" s="10">
        <f t="shared" si="0"/>
        <v>624.19779707856299</v>
      </c>
      <c r="F21" s="11">
        <f t="shared" si="1"/>
        <v>0.68367071524966261</v>
      </c>
      <c r="G21" s="12">
        <f t="shared" si="6"/>
        <v>224</v>
      </c>
      <c r="H21" s="29">
        <f t="shared" si="7"/>
        <v>769.57486607142869</v>
      </c>
      <c r="I21" s="31"/>
      <c r="J21" s="35">
        <v>1734</v>
      </c>
      <c r="K21" s="75">
        <v>819770.38</v>
      </c>
      <c r="L21" s="10">
        <f t="shared" si="2"/>
        <v>472.76261822376011</v>
      </c>
      <c r="M21" s="11">
        <f t="shared" si="3"/>
        <v>0.22645944887031474</v>
      </c>
      <c r="N21" s="12">
        <f t="shared" si="8"/>
        <v>-16</v>
      </c>
      <c r="O21" s="36">
        <f>-(K21-K20)/-N21</f>
        <v>-399.47937500000262</v>
      </c>
      <c r="P21" s="38"/>
      <c r="Q21" s="34">
        <v>485</v>
      </c>
      <c r="R21" s="64">
        <v>127827.57</v>
      </c>
      <c r="S21" s="60">
        <f t="shared" si="4"/>
        <v>263.56200000000001</v>
      </c>
      <c r="T21" s="11">
        <f t="shared" si="5"/>
        <v>6.5452091767881235E-2</v>
      </c>
      <c r="U21" s="14">
        <v>0</v>
      </c>
      <c r="V21" s="36">
        <v>0</v>
      </c>
      <c r="W21" s="42"/>
    </row>
    <row r="22" spans="2:23" ht="12" customHeight="1" x14ac:dyDescent="0.25">
      <c r="B22" s="15">
        <f t="shared" si="9"/>
        <v>8</v>
      </c>
      <c r="C22" s="16">
        <f>3431+1689</f>
        <v>5120</v>
      </c>
      <c r="D22" s="82">
        <f>2005643.89+1211444.68</f>
        <v>3217088.57</v>
      </c>
      <c r="E22" s="10">
        <f t="shared" si="0"/>
        <v>628.33761132812492</v>
      </c>
      <c r="F22" s="11">
        <f t="shared" si="1"/>
        <v>0.69095816464237514</v>
      </c>
      <c r="G22" s="12">
        <f t="shared" si="6"/>
        <v>54</v>
      </c>
      <c r="H22" s="29">
        <f t="shared" si="7"/>
        <v>1016.7135185185148</v>
      </c>
      <c r="I22" s="31"/>
      <c r="J22" s="35">
        <v>1804</v>
      </c>
      <c r="K22" s="75">
        <v>851599.69</v>
      </c>
      <c r="L22" s="10">
        <f t="shared" si="2"/>
        <v>472.06191241685138</v>
      </c>
      <c r="M22" s="11">
        <f t="shared" si="3"/>
        <v>0.23560141047407601</v>
      </c>
      <c r="N22" s="12">
        <f t="shared" si="8"/>
        <v>70</v>
      </c>
      <c r="O22" s="36">
        <f>(K22-K21)/N22</f>
        <v>454.70442857142768</v>
      </c>
      <c r="P22" s="38"/>
      <c r="Q22" s="34">
        <v>493</v>
      </c>
      <c r="R22" s="64">
        <v>130650.97</v>
      </c>
      <c r="S22" s="60">
        <f t="shared" si="4"/>
        <v>265.01210953346856</v>
      </c>
      <c r="T22" s="11">
        <f t="shared" si="5"/>
        <v>6.6531713900134959E-2</v>
      </c>
      <c r="U22" s="14">
        <f>Q22-Q21</f>
        <v>8</v>
      </c>
      <c r="V22" s="36">
        <f t="shared" si="10"/>
        <v>352.92499999999927</v>
      </c>
      <c r="W22" s="42"/>
    </row>
    <row r="23" spans="2:23" ht="12" customHeight="1" x14ac:dyDescent="0.25">
      <c r="B23" s="15">
        <f t="shared" si="9"/>
        <v>9</v>
      </c>
      <c r="C23" s="16">
        <f>3251+1901</f>
        <v>5152</v>
      </c>
      <c r="D23" s="82">
        <f>1905228.96+1376923.31</f>
        <v>3282152.27</v>
      </c>
      <c r="E23" s="10">
        <f t="shared" si="0"/>
        <v>637.06371700310558</v>
      </c>
      <c r="F23" s="11">
        <f t="shared" si="1"/>
        <v>0.69527665317138998</v>
      </c>
      <c r="G23" s="12">
        <f t="shared" si="6"/>
        <v>32</v>
      </c>
      <c r="H23" s="29">
        <f t="shared" si="7"/>
        <v>2033.2406250000058</v>
      </c>
      <c r="I23" s="31"/>
      <c r="J23" s="35">
        <v>1833</v>
      </c>
      <c r="K23" s="75">
        <v>859665.53</v>
      </c>
      <c r="L23" s="10">
        <f t="shared" si="2"/>
        <v>468.99374249863615</v>
      </c>
      <c r="M23" s="11">
        <f t="shared" si="3"/>
        <v>0.23938879456706283</v>
      </c>
      <c r="N23" s="12">
        <f t="shared" si="8"/>
        <v>29</v>
      </c>
      <c r="O23" s="36">
        <f t="shared" ref="O23:O45" si="11">(K23-K22)/N23</f>
        <v>278.13241379310637</v>
      </c>
      <c r="P23" s="38"/>
      <c r="Q23" s="34">
        <v>493</v>
      </c>
      <c r="R23" s="64">
        <v>130650.97</v>
      </c>
      <c r="S23" s="60">
        <f t="shared" si="4"/>
        <v>265.01210953346856</v>
      </c>
      <c r="T23" s="11">
        <f t="shared" si="5"/>
        <v>6.6531713900134959E-2</v>
      </c>
      <c r="U23" s="14">
        <v>0</v>
      </c>
      <c r="V23" s="36">
        <v>0</v>
      </c>
      <c r="W23" s="42"/>
    </row>
    <row r="24" spans="2:23" ht="12" customHeight="1" x14ac:dyDescent="0.25">
      <c r="B24" s="15">
        <f t="shared" si="9"/>
        <v>10</v>
      </c>
      <c r="C24" s="16">
        <f>3086+2135</f>
        <v>5221</v>
      </c>
      <c r="D24" s="82">
        <f>1566164.81+1745254.82</f>
        <v>3311419.63</v>
      </c>
      <c r="E24" s="10">
        <f t="shared" si="0"/>
        <v>634.25007278299177</v>
      </c>
      <c r="F24" s="11">
        <f t="shared" si="1"/>
        <v>0.70458839406207829</v>
      </c>
      <c r="G24" s="12">
        <f t="shared" si="6"/>
        <v>69</v>
      </c>
      <c r="H24" s="29">
        <f t="shared" si="7"/>
        <v>424.16463768115756</v>
      </c>
      <c r="I24" s="31"/>
      <c r="J24" s="35">
        <v>1855</v>
      </c>
      <c r="K24" s="75">
        <v>871546.31</v>
      </c>
      <c r="L24" s="10">
        <f t="shared" si="2"/>
        <v>469.83628571428574</v>
      </c>
      <c r="M24" s="11">
        <f t="shared" si="3"/>
        <v>0.24226198249967351</v>
      </c>
      <c r="N24" s="12">
        <f t="shared" si="8"/>
        <v>22</v>
      </c>
      <c r="O24" s="36">
        <f t="shared" si="11"/>
        <v>540.03545454545576</v>
      </c>
      <c r="P24" s="38"/>
      <c r="Q24" s="34">
        <v>526</v>
      </c>
      <c r="R24" s="64">
        <v>143045.97</v>
      </c>
      <c r="S24" s="60">
        <f t="shared" si="4"/>
        <v>271.95051330798481</v>
      </c>
      <c r="T24" s="11">
        <f t="shared" si="5"/>
        <v>7.0985155195681507E-2</v>
      </c>
      <c r="U24" s="14">
        <f>Q24-Q23</f>
        <v>33</v>
      </c>
      <c r="V24" s="36">
        <f t="shared" si="10"/>
        <v>375.60606060606062</v>
      </c>
      <c r="W24" s="42"/>
    </row>
    <row r="25" spans="2:23" ht="12" customHeight="1" x14ac:dyDescent="0.25">
      <c r="B25" s="15">
        <f t="shared" si="9"/>
        <v>11</v>
      </c>
      <c r="C25" s="16">
        <f>2382+3135</f>
        <v>5517</v>
      </c>
      <c r="D25" s="82">
        <f>1762798.02+1762529.57</f>
        <v>3525327.59</v>
      </c>
      <c r="E25" s="10">
        <f t="shared" si="0"/>
        <v>638.99358165669742</v>
      </c>
      <c r="F25" s="11">
        <f t="shared" si="1"/>
        <v>0.74453441295546563</v>
      </c>
      <c r="G25" s="12">
        <f t="shared" si="6"/>
        <v>296</v>
      </c>
      <c r="H25" s="29">
        <f t="shared" si="7"/>
        <v>722.66202702702685</v>
      </c>
      <c r="I25" s="31"/>
      <c r="J25" s="35">
        <v>1965</v>
      </c>
      <c r="K25" s="75">
        <v>937119.36</v>
      </c>
      <c r="L25" s="10">
        <f t="shared" si="2"/>
        <v>476.90552671755722</v>
      </c>
      <c r="M25" s="11">
        <f t="shared" si="3"/>
        <v>0.2566279221627269</v>
      </c>
      <c r="N25" s="12">
        <f t="shared" si="8"/>
        <v>110</v>
      </c>
      <c r="O25" s="36">
        <f t="shared" si="11"/>
        <v>596.11863636363569</v>
      </c>
      <c r="P25" s="38"/>
      <c r="Q25" s="34">
        <v>556</v>
      </c>
      <c r="R25" s="64">
        <v>158045.97</v>
      </c>
      <c r="S25" s="60">
        <f t="shared" si="4"/>
        <v>284.25534172661872</v>
      </c>
      <c r="T25" s="11">
        <f t="shared" si="5"/>
        <v>7.5033738191632934E-2</v>
      </c>
      <c r="U25" s="14">
        <f>Q25-Q24</f>
        <v>30</v>
      </c>
      <c r="V25" s="36">
        <f t="shared" si="10"/>
        <v>500</v>
      </c>
      <c r="W25" s="42"/>
    </row>
    <row r="26" spans="2:23" ht="12" customHeight="1" x14ac:dyDescent="0.25">
      <c r="B26" s="15">
        <f t="shared" si="9"/>
        <v>12</v>
      </c>
      <c r="C26" s="16">
        <f>2617+3019</f>
        <v>5636</v>
      </c>
      <c r="D26" s="82">
        <f>1692351.11+1950229.25</f>
        <v>3642580.3600000003</v>
      </c>
      <c r="E26" s="10">
        <f t="shared" si="0"/>
        <v>646.30595457771472</v>
      </c>
      <c r="F26" s="11">
        <f t="shared" si="1"/>
        <v>0.76059379217273959</v>
      </c>
      <c r="G26" s="12">
        <f t="shared" si="6"/>
        <v>119</v>
      </c>
      <c r="H26" s="29">
        <f t="shared" si="7"/>
        <v>985.31739495798729</v>
      </c>
      <c r="I26" s="31">
        <v>635.86</v>
      </c>
      <c r="J26" s="35">
        <v>2075</v>
      </c>
      <c r="K26" s="75">
        <v>997125.51</v>
      </c>
      <c r="L26" s="10">
        <f t="shared" si="2"/>
        <v>480.54241445783134</v>
      </c>
      <c r="M26" s="11">
        <f t="shared" si="3"/>
        <v>0.27099386182578034</v>
      </c>
      <c r="N26" s="12">
        <f t="shared" si="8"/>
        <v>110</v>
      </c>
      <c r="O26" s="36">
        <f t="shared" si="11"/>
        <v>545.51045454545476</v>
      </c>
      <c r="P26" s="38"/>
      <c r="Q26" s="34">
        <v>566</v>
      </c>
      <c r="R26" s="64">
        <v>163668.47</v>
      </c>
      <c r="S26" s="60">
        <f t="shared" si="4"/>
        <v>289.1669081272085</v>
      </c>
      <c r="T26" s="11">
        <f t="shared" si="5"/>
        <v>7.6383265856950072E-2</v>
      </c>
      <c r="U26" s="14">
        <f>Q26-Q25</f>
        <v>10</v>
      </c>
      <c r="V26" s="36">
        <f t="shared" si="10"/>
        <v>562.25</v>
      </c>
      <c r="W26" s="42"/>
    </row>
    <row r="27" spans="2:23" ht="12" customHeight="1" x14ac:dyDescent="0.25">
      <c r="B27" s="15">
        <f t="shared" si="9"/>
        <v>13</v>
      </c>
      <c r="C27" s="16">
        <f>2857+2873</f>
        <v>5730</v>
      </c>
      <c r="D27" s="82">
        <f>1614113.38+2145865.55</f>
        <v>3759978.9299999997</v>
      </c>
      <c r="E27" s="10">
        <f t="shared" si="0"/>
        <v>656.19178534031414</v>
      </c>
      <c r="F27" s="11">
        <f t="shared" si="1"/>
        <v>0.77327935222672062</v>
      </c>
      <c r="G27" s="12">
        <f t="shared" si="6"/>
        <v>94</v>
      </c>
      <c r="H27" s="29">
        <f t="shared" si="7"/>
        <v>1248.9209574468018</v>
      </c>
      <c r="I27" s="31"/>
      <c r="J27" s="35">
        <v>2111</v>
      </c>
      <c r="K27" s="75">
        <v>1014148.82</v>
      </c>
      <c r="L27" s="10">
        <f t="shared" si="2"/>
        <v>480.41156797726194</v>
      </c>
      <c r="M27" s="11">
        <f t="shared" si="3"/>
        <v>0.27569544207914326</v>
      </c>
      <c r="N27" s="12">
        <f t="shared" si="8"/>
        <v>36</v>
      </c>
      <c r="O27" s="36">
        <f t="shared" si="11"/>
        <v>472.86972222222056</v>
      </c>
      <c r="P27" s="38"/>
      <c r="Q27" s="34">
        <v>681</v>
      </c>
      <c r="R27" s="64">
        <v>202203.25</v>
      </c>
      <c r="S27" s="60">
        <f t="shared" si="4"/>
        <v>296.92107195301026</v>
      </c>
      <c r="T27" s="11">
        <f t="shared" si="5"/>
        <v>9.1902834008097165E-2</v>
      </c>
      <c r="U27" s="14">
        <f>Q27-Q26</f>
        <v>115</v>
      </c>
      <c r="V27" s="36">
        <f t="shared" si="10"/>
        <v>335.08504347826084</v>
      </c>
      <c r="W27" s="42"/>
    </row>
    <row r="28" spans="2:23" ht="12" customHeight="1" x14ac:dyDescent="0.25">
      <c r="B28" s="15">
        <f t="shared" si="9"/>
        <v>14</v>
      </c>
      <c r="C28" s="16">
        <f>3088+2738</f>
        <v>5826</v>
      </c>
      <c r="D28" s="82">
        <f>2319291.45+1522830.79</f>
        <v>3842122.24</v>
      </c>
      <c r="E28" s="10">
        <f t="shared" si="0"/>
        <v>659.47858565053218</v>
      </c>
      <c r="F28" s="11">
        <f t="shared" si="1"/>
        <v>0.78623481781376514</v>
      </c>
      <c r="G28" s="12">
        <f t="shared" si="6"/>
        <v>96</v>
      </c>
      <c r="H28" s="29">
        <f t="shared" si="7"/>
        <v>855.6594791666721</v>
      </c>
      <c r="I28" s="31"/>
      <c r="J28" s="35">
        <v>2143</v>
      </c>
      <c r="K28" s="75">
        <v>1014715.48</v>
      </c>
      <c r="L28" s="10">
        <f t="shared" si="2"/>
        <v>473.502323845077</v>
      </c>
      <c r="M28" s="11">
        <f t="shared" si="3"/>
        <v>0.27987462452657696</v>
      </c>
      <c r="N28" s="12">
        <f t="shared" si="8"/>
        <v>32</v>
      </c>
      <c r="O28" s="36">
        <f t="shared" si="11"/>
        <v>17.708125000001019</v>
      </c>
      <c r="P28" s="38"/>
      <c r="Q28" s="34">
        <v>681</v>
      </c>
      <c r="R28" s="64">
        <v>202203.25</v>
      </c>
      <c r="S28" s="60">
        <f t="shared" si="4"/>
        <v>296.92107195301026</v>
      </c>
      <c r="T28" s="11">
        <f t="shared" si="5"/>
        <v>9.1902834008097165E-2</v>
      </c>
      <c r="U28" s="14">
        <v>0</v>
      </c>
      <c r="V28" s="36">
        <v>0</v>
      </c>
      <c r="W28" s="42"/>
    </row>
    <row r="29" spans="2:23" ht="12" customHeight="1" x14ac:dyDescent="0.25">
      <c r="B29" s="15">
        <f t="shared" si="9"/>
        <v>15</v>
      </c>
      <c r="C29" s="16">
        <f>2512+3306</f>
        <v>5818</v>
      </c>
      <c r="D29" s="82">
        <f>1386782.99+2477664.44</f>
        <v>3864447.4299999997</v>
      </c>
      <c r="E29" s="10">
        <f t="shared" si="0"/>
        <v>664.22265898934336</v>
      </c>
      <c r="F29" s="11">
        <f t="shared" si="1"/>
        <v>0.78515519568151149</v>
      </c>
      <c r="G29" s="12">
        <f t="shared" si="6"/>
        <v>-8</v>
      </c>
      <c r="H29" s="29">
        <f t="shared" si="7"/>
        <v>-2790.6487499999348</v>
      </c>
      <c r="I29" s="31"/>
      <c r="J29" s="35">
        <v>2174</v>
      </c>
      <c r="K29" s="75">
        <v>1032282.14</v>
      </c>
      <c r="L29" s="10">
        <f t="shared" si="2"/>
        <v>474.8307911683533</v>
      </c>
      <c r="M29" s="11">
        <f t="shared" si="3"/>
        <v>0.28392320752252842</v>
      </c>
      <c r="N29" s="12">
        <f t="shared" si="8"/>
        <v>31</v>
      </c>
      <c r="O29" s="36">
        <f t="shared" si="11"/>
        <v>566.66645161290432</v>
      </c>
      <c r="P29" s="38"/>
      <c r="Q29" s="34">
        <v>688</v>
      </c>
      <c r="R29" s="64">
        <v>203003.25</v>
      </c>
      <c r="S29" s="60">
        <f t="shared" si="4"/>
        <v>295.06286337209303</v>
      </c>
      <c r="T29" s="11">
        <f t="shared" si="5"/>
        <v>9.2847503373819168E-2</v>
      </c>
      <c r="U29" s="14">
        <f t="shared" ref="U29:U44" si="12">Q29-Q28</f>
        <v>7</v>
      </c>
      <c r="V29" s="36">
        <f t="shared" si="10"/>
        <v>114.28571428571429</v>
      </c>
      <c r="W29" s="42"/>
    </row>
    <row r="30" spans="2:23" ht="12" customHeight="1" x14ac:dyDescent="0.25">
      <c r="B30" s="15">
        <f t="shared" si="9"/>
        <v>16</v>
      </c>
      <c r="C30" s="16">
        <f>3470+2367</f>
        <v>5837</v>
      </c>
      <c r="D30" s="82">
        <f>1288272.77+2593351.33</f>
        <v>3881624.1</v>
      </c>
      <c r="E30" s="10">
        <f t="shared" si="0"/>
        <v>665.00327222888473</v>
      </c>
      <c r="F30" s="11">
        <f t="shared" si="1"/>
        <v>0.78771929824561404</v>
      </c>
      <c r="G30" s="12">
        <f t="shared" si="6"/>
        <v>19</v>
      </c>
      <c r="H30" s="29">
        <f t="shared" si="7"/>
        <v>904.03526315791532</v>
      </c>
      <c r="I30" s="31"/>
      <c r="J30" s="35">
        <v>2193</v>
      </c>
      <c r="K30" s="75">
        <v>1035584.65</v>
      </c>
      <c r="L30" s="10">
        <f t="shared" si="2"/>
        <v>472.22282261741907</v>
      </c>
      <c r="M30" s="11">
        <f t="shared" si="3"/>
        <v>0.28640459710069216</v>
      </c>
      <c r="N30" s="12">
        <f t="shared" si="8"/>
        <v>19</v>
      </c>
      <c r="O30" s="36">
        <f t="shared" si="11"/>
        <v>173.81631578947417</v>
      </c>
      <c r="P30" s="38"/>
      <c r="Q30" s="34">
        <v>688</v>
      </c>
      <c r="R30" s="64">
        <v>202853.25</v>
      </c>
      <c r="S30" s="60">
        <f t="shared" si="4"/>
        <v>294.84484011627904</v>
      </c>
      <c r="T30" s="11">
        <f t="shared" si="5"/>
        <v>9.2847503373819168E-2</v>
      </c>
      <c r="U30" s="14">
        <f t="shared" si="12"/>
        <v>0</v>
      </c>
      <c r="V30" s="36">
        <v>0</v>
      </c>
      <c r="W30" s="42"/>
    </row>
    <row r="31" spans="2:23" ht="12" customHeight="1" x14ac:dyDescent="0.25">
      <c r="B31" s="15">
        <f t="shared" si="9"/>
        <v>17</v>
      </c>
      <c r="C31" s="16">
        <f>3639+2291</f>
        <v>5930</v>
      </c>
      <c r="D31" s="83">
        <f>2707375.63+1270731.64</f>
        <v>3978107.2699999996</v>
      </c>
      <c r="E31" s="10">
        <f t="shared" si="0"/>
        <v>670.84439629005055</v>
      </c>
      <c r="F31" s="11">
        <f t="shared" si="1"/>
        <v>0.80026990553306343</v>
      </c>
      <c r="G31" s="12">
        <f t="shared" si="6"/>
        <v>93</v>
      </c>
      <c r="H31" s="29">
        <f t="shared" si="7"/>
        <v>1037.4534408602092</v>
      </c>
      <c r="I31" s="31"/>
      <c r="J31" s="35">
        <v>2323</v>
      </c>
      <c r="K31" s="75">
        <v>1109498.81</v>
      </c>
      <c r="L31" s="10">
        <f t="shared" si="2"/>
        <v>477.61464055101163</v>
      </c>
      <c r="M31" s="11">
        <f t="shared" si="3"/>
        <v>0.30338252579339164</v>
      </c>
      <c r="N31" s="12">
        <f t="shared" si="8"/>
        <v>130</v>
      </c>
      <c r="O31" s="36">
        <f t="shared" si="11"/>
        <v>568.57046153846181</v>
      </c>
      <c r="P31" s="38"/>
      <c r="Q31" s="34">
        <v>749</v>
      </c>
      <c r="R31" s="64">
        <v>233653.25</v>
      </c>
      <c r="S31" s="60">
        <f t="shared" si="4"/>
        <v>311.95360480640852</v>
      </c>
      <c r="T31" s="11">
        <f t="shared" si="5"/>
        <v>0.10107962213225372</v>
      </c>
      <c r="U31" s="14">
        <f t="shared" si="12"/>
        <v>61</v>
      </c>
      <c r="V31" s="36">
        <f t="shared" si="10"/>
        <v>504.91803278688525</v>
      </c>
      <c r="W31" s="42"/>
    </row>
    <row r="32" spans="2:23" ht="12" customHeight="1" x14ac:dyDescent="0.25">
      <c r="B32" s="15">
        <f t="shared" si="9"/>
        <v>18</v>
      </c>
      <c r="C32" s="16">
        <f>2157+3854</f>
        <v>6011</v>
      </c>
      <c r="D32" s="84">
        <f>1201699.29+2854561.95</f>
        <v>4056261.24</v>
      </c>
      <c r="E32" s="10">
        <f t="shared" si="0"/>
        <v>674.80639494260527</v>
      </c>
      <c r="F32" s="11">
        <f t="shared" si="1"/>
        <v>0.81120107962213228</v>
      </c>
      <c r="G32" s="12">
        <f t="shared" si="6"/>
        <v>81</v>
      </c>
      <c r="H32" s="29">
        <f t="shared" si="7"/>
        <v>964.86382716050207</v>
      </c>
      <c r="I32" s="31"/>
      <c r="J32" s="35">
        <v>2357</v>
      </c>
      <c r="K32" s="75">
        <v>1131662.1599999999</v>
      </c>
      <c r="L32" s="10">
        <f t="shared" si="2"/>
        <v>480.12819686041576</v>
      </c>
      <c r="M32" s="11">
        <f t="shared" si="3"/>
        <v>0.30782290714379001</v>
      </c>
      <c r="N32" s="12">
        <f t="shared" si="8"/>
        <v>34</v>
      </c>
      <c r="O32" s="36">
        <f t="shared" si="11"/>
        <v>651.86323529411357</v>
      </c>
      <c r="P32" s="38"/>
      <c r="Q32" s="34">
        <v>778</v>
      </c>
      <c r="R32" s="64">
        <v>251053.25</v>
      </c>
      <c r="S32" s="60">
        <f t="shared" si="4"/>
        <v>322.69055269922882</v>
      </c>
      <c r="T32" s="11">
        <f t="shared" si="5"/>
        <v>0.10499325236167341</v>
      </c>
      <c r="U32" s="14">
        <f t="shared" si="12"/>
        <v>29</v>
      </c>
      <c r="V32" s="36">
        <f t="shared" si="10"/>
        <v>600</v>
      </c>
      <c r="W32" s="42"/>
    </row>
    <row r="33" spans="2:23" ht="12" customHeight="1" x14ac:dyDescent="0.25">
      <c r="B33" s="15">
        <f t="shared" si="9"/>
        <v>19</v>
      </c>
      <c r="C33" s="16">
        <f>1960+4092</f>
        <v>6052</v>
      </c>
      <c r="D33" s="84">
        <f>3010901.9+1108622.01</f>
        <v>4119523.91</v>
      </c>
      <c r="E33" s="10">
        <f t="shared" si="0"/>
        <v>680.68802214144091</v>
      </c>
      <c r="F33" s="11">
        <f t="shared" si="1"/>
        <v>0.81673414304993253</v>
      </c>
      <c r="G33" s="12">
        <f t="shared" si="6"/>
        <v>41</v>
      </c>
      <c r="H33" s="29">
        <f t="shared" si="7"/>
        <v>1542.9919512195104</v>
      </c>
      <c r="I33" s="31"/>
      <c r="J33" s="35">
        <v>2394</v>
      </c>
      <c r="K33" s="75">
        <v>1150685.51</v>
      </c>
      <c r="L33" s="10">
        <f t="shared" si="2"/>
        <v>480.6539306599833</v>
      </c>
      <c r="M33" s="11">
        <f t="shared" si="3"/>
        <v>0.31265508684863524</v>
      </c>
      <c r="N33" s="12">
        <f t="shared" si="8"/>
        <v>37</v>
      </c>
      <c r="O33" s="36">
        <f t="shared" si="11"/>
        <v>514.14459459459715</v>
      </c>
      <c r="P33" s="38"/>
      <c r="Q33" s="34">
        <v>777</v>
      </c>
      <c r="R33" s="64">
        <v>250353.25</v>
      </c>
      <c r="S33" s="60">
        <f t="shared" si="4"/>
        <v>322.20495495495493</v>
      </c>
      <c r="T33" s="11">
        <f t="shared" si="5"/>
        <v>0.1048582995951417</v>
      </c>
      <c r="U33" s="14">
        <f t="shared" si="12"/>
        <v>-1</v>
      </c>
      <c r="V33" s="36">
        <f t="shared" si="10"/>
        <v>700</v>
      </c>
      <c r="W33" s="42"/>
    </row>
    <row r="34" spans="2:23" ht="12" customHeight="1" x14ac:dyDescent="0.25">
      <c r="B34" s="15">
        <f t="shared" si="9"/>
        <v>20</v>
      </c>
      <c r="C34" s="16">
        <f>4339+1718</f>
        <v>6057</v>
      </c>
      <c r="D34" s="84">
        <f>947338.38+3183051.8</f>
        <v>4130390.1799999997</v>
      </c>
      <c r="E34" s="10">
        <f t="shared" si="0"/>
        <v>681.92012217269269</v>
      </c>
      <c r="F34" s="11">
        <f t="shared" si="1"/>
        <v>0.81740890688259105</v>
      </c>
      <c r="G34" s="12">
        <f t="shared" si="6"/>
        <v>5</v>
      </c>
      <c r="H34" s="29">
        <f t="shared" si="7"/>
        <v>2173.2539999999108</v>
      </c>
      <c r="I34" s="31"/>
      <c r="J34" s="35">
        <v>2433</v>
      </c>
      <c r="K34" s="75">
        <v>1176430.8700000001</v>
      </c>
      <c r="L34" s="10">
        <f t="shared" si="2"/>
        <v>483.53097821619406</v>
      </c>
      <c r="M34" s="11">
        <f t="shared" si="3"/>
        <v>0.31774846545644508</v>
      </c>
      <c r="N34" s="12">
        <f t="shared" si="8"/>
        <v>39</v>
      </c>
      <c r="O34" s="36">
        <f t="shared" si="11"/>
        <v>660.13743589743854</v>
      </c>
      <c r="P34" s="38"/>
      <c r="Q34" s="34">
        <v>784</v>
      </c>
      <c r="R34" s="64">
        <v>253358.25</v>
      </c>
      <c r="S34" s="60">
        <f t="shared" si="4"/>
        <v>323.1610331632653</v>
      </c>
      <c r="T34" s="11">
        <f t="shared" si="5"/>
        <v>0.10580296896086369</v>
      </c>
      <c r="U34" s="14">
        <f t="shared" si="12"/>
        <v>7</v>
      </c>
      <c r="V34" s="36">
        <f t="shared" si="10"/>
        <v>429.28571428571428</v>
      </c>
      <c r="W34" s="42"/>
    </row>
    <row r="35" spans="2:23" ht="12" customHeight="1" x14ac:dyDescent="0.25">
      <c r="B35" s="15">
        <f t="shared" si="9"/>
        <v>21</v>
      </c>
      <c r="C35" s="16">
        <f>4586+1457</f>
        <v>6043</v>
      </c>
      <c r="D35" s="82">
        <f>811378.36+3353002.55</f>
        <v>4164380.9099999997</v>
      </c>
      <c r="E35" s="10">
        <f t="shared" si="0"/>
        <v>689.12475757074299</v>
      </c>
      <c r="F35" s="11">
        <f t="shared" si="1"/>
        <v>0.81551956815114712</v>
      </c>
      <c r="G35" s="12">
        <f t="shared" si="6"/>
        <v>-14</v>
      </c>
      <c r="H35" s="29">
        <f t="shared" si="7"/>
        <v>-2427.9092857142846</v>
      </c>
      <c r="I35" s="31"/>
      <c r="J35" s="35">
        <v>2463</v>
      </c>
      <c r="K35" s="75">
        <v>1199431.22</v>
      </c>
      <c r="L35" s="10">
        <f t="shared" si="2"/>
        <v>486.97978887535527</v>
      </c>
      <c r="M35" s="11">
        <f t="shared" si="3"/>
        <v>0.32166644900091418</v>
      </c>
      <c r="N35" s="12">
        <f t="shared" si="8"/>
        <v>30</v>
      </c>
      <c r="O35" s="36">
        <f t="shared" si="11"/>
        <v>766.67833333332862</v>
      </c>
      <c r="P35" s="38"/>
      <c r="Q35" s="34">
        <v>729</v>
      </c>
      <c r="R35" s="64">
        <v>236358.45</v>
      </c>
      <c r="S35" s="60">
        <f t="shared" si="4"/>
        <v>324.22283950617287</v>
      </c>
      <c r="T35" s="11">
        <f t="shared" si="5"/>
        <v>9.838056680161944E-2</v>
      </c>
      <c r="U35" s="14">
        <f t="shared" si="12"/>
        <v>-55</v>
      </c>
      <c r="V35" s="36">
        <f t="shared" si="10"/>
        <v>309.08727272727253</v>
      </c>
      <c r="W35" s="42"/>
    </row>
    <row r="36" spans="2:23" ht="12" customHeight="1" x14ac:dyDescent="0.25">
      <c r="B36" s="15">
        <f t="shared" si="9"/>
        <v>22</v>
      </c>
      <c r="C36" s="16">
        <f>1254+4799</f>
        <v>6053</v>
      </c>
      <c r="D36" s="82">
        <f>694961.93+3496381.28</f>
        <v>4191343.21</v>
      </c>
      <c r="E36" s="10">
        <f t="shared" si="0"/>
        <v>692.4406426565339</v>
      </c>
      <c r="F36" s="11">
        <f t="shared" si="1"/>
        <v>0.81686909581646427</v>
      </c>
      <c r="G36" s="12">
        <f t="shared" si="6"/>
        <v>10</v>
      </c>
      <c r="H36" s="29">
        <f t="shared" si="7"/>
        <v>2696.2300000000278</v>
      </c>
      <c r="I36" s="31"/>
      <c r="J36" s="35">
        <v>2500</v>
      </c>
      <c r="K36" s="75">
        <v>1219119</v>
      </c>
      <c r="L36" s="10">
        <f t="shared" si="2"/>
        <v>487.64760000000001</v>
      </c>
      <c r="M36" s="11">
        <f t="shared" si="3"/>
        <v>0.32649862870575941</v>
      </c>
      <c r="N36" s="12">
        <f t="shared" si="8"/>
        <v>37</v>
      </c>
      <c r="O36" s="36">
        <f t="shared" si="11"/>
        <v>532.10216216216293</v>
      </c>
      <c r="P36" s="38"/>
      <c r="Q36" s="34">
        <v>713</v>
      </c>
      <c r="R36" s="64">
        <v>229151.93</v>
      </c>
      <c r="S36" s="60">
        <f t="shared" si="4"/>
        <v>321.39120617110797</v>
      </c>
      <c r="T36" s="11">
        <f t="shared" si="5"/>
        <v>9.6221322537112006E-2</v>
      </c>
      <c r="U36" s="14">
        <f t="shared" si="12"/>
        <v>-16</v>
      </c>
      <c r="V36" s="36">
        <f t="shared" si="10"/>
        <v>450.40750000000116</v>
      </c>
      <c r="W36" s="42"/>
    </row>
    <row r="37" spans="2:23" ht="12" customHeight="1" x14ac:dyDescent="0.25">
      <c r="B37" s="15">
        <f t="shared" si="9"/>
        <v>23</v>
      </c>
      <c r="C37" s="16">
        <f>4977+1121</f>
        <v>6098</v>
      </c>
      <c r="D37" s="82">
        <f>3610424.07+620628.32</f>
        <v>4231052.3899999997</v>
      </c>
      <c r="E37" s="10">
        <f t="shared" si="0"/>
        <v>693.84263529025907</v>
      </c>
      <c r="F37" s="11">
        <f t="shared" si="1"/>
        <v>0.8229419703103914</v>
      </c>
      <c r="G37" s="12">
        <f t="shared" si="6"/>
        <v>45</v>
      </c>
      <c r="H37" s="29">
        <f t="shared" si="7"/>
        <v>882.42622222221564</v>
      </c>
      <c r="I37" s="31"/>
      <c r="J37" s="35">
        <v>2509</v>
      </c>
      <c r="K37" s="75">
        <v>1224403</v>
      </c>
      <c r="L37" s="10">
        <f t="shared" si="2"/>
        <v>488.00438421681946</v>
      </c>
      <c r="M37" s="11">
        <f t="shared" si="3"/>
        <v>0.32767402376910015</v>
      </c>
      <c r="N37" s="12">
        <f t="shared" si="8"/>
        <v>9</v>
      </c>
      <c r="O37" s="36">
        <f t="shared" si="11"/>
        <v>587.11111111111109</v>
      </c>
      <c r="P37" s="38"/>
      <c r="Q37" s="34">
        <v>713</v>
      </c>
      <c r="R37" s="64">
        <v>229151.93</v>
      </c>
      <c r="S37" s="60">
        <f t="shared" si="4"/>
        <v>321.39120617110797</v>
      </c>
      <c r="T37" s="11">
        <f t="shared" si="5"/>
        <v>9.6221322537112006E-2</v>
      </c>
      <c r="U37" s="14">
        <f t="shared" si="12"/>
        <v>0</v>
      </c>
      <c r="V37" s="36">
        <v>0</v>
      </c>
      <c r="W37" s="42"/>
    </row>
    <row r="38" spans="2:23" ht="12" customHeight="1" x14ac:dyDescent="0.25">
      <c r="B38" s="15">
        <f t="shared" si="9"/>
        <v>24</v>
      </c>
      <c r="C38" s="16">
        <f>5172+975</f>
        <v>6147</v>
      </c>
      <c r="D38" s="82">
        <f>3736313.74+539707.78</f>
        <v>4276021.5200000005</v>
      </c>
      <c r="E38" s="10">
        <f t="shared" si="0"/>
        <v>695.62738246299011</v>
      </c>
      <c r="F38" s="11">
        <f t="shared" si="1"/>
        <v>0.8295546558704453</v>
      </c>
      <c r="G38" s="12">
        <f t="shared" si="6"/>
        <v>49</v>
      </c>
      <c r="H38" s="29">
        <f t="shared" si="7"/>
        <v>917.73734693879226</v>
      </c>
      <c r="I38" s="31"/>
      <c r="J38" s="35">
        <v>2720</v>
      </c>
      <c r="K38" s="75">
        <v>1305912.3200000001</v>
      </c>
      <c r="L38" s="10">
        <f t="shared" si="2"/>
        <v>480.11482352941181</v>
      </c>
      <c r="M38" s="11">
        <f t="shared" si="3"/>
        <v>0.35523050803186629</v>
      </c>
      <c r="N38" s="12">
        <f t="shared" si="8"/>
        <v>211</v>
      </c>
      <c r="O38" s="36">
        <f t="shared" si="11"/>
        <v>386.30009478673014</v>
      </c>
      <c r="P38" s="38"/>
      <c r="Q38" s="34">
        <v>824</v>
      </c>
      <c r="R38" s="64">
        <v>268639.93</v>
      </c>
      <c r="S38" s="60">
        <f t="shared" si="4"/>
        <v>326.01933252427182</v>
      </c>
      <c r="T38" s="11">
        <f t="shared" si="5"/>
        <v>0.11120107962213226</v>
      </c>
      <c r="U38" s="14">
        <f t="shared" si="12"/>
        <v>111</v>
      </c>
      <c r="V38" s="36">
        <f t="shared" si="10"/>
        <v>355.74774774774772</v>
      </c>
      <c r="W38" s="42"/>
    </row>
    <row r="39" spans="2:23" ht="12" customHeight="1" x14ac:dyDescent="0.25">
      <c r="B39" s="15">
        <f t="shared" si="9"/>
        <v>25</v>
      </c>
      <c r="C39" s="16">
        <f>5347+853</f>
        <v>6200</v>
      </c>
      <c r="D39" s="82">
        <f>3851105.17+472942.12</f>
        <v>4324047.29</v>
      </c>
      <c r="E39" s="10">
        <f t="shared" si="0"/>
        <v>697.42698225806453</v>
      </c>
      <c r="F39" s="11">
        <f t="shared" si="1"/>
        <v>0.83670715249662619</v>
      </c>
      <c r="G39" s="12">
        <f t="shared" si="6"/>
        <v>53</v>
      </c>
      <c r="H39" s="29">
        <f t="shared" si="7"/>
        <v>906.14660377357643</v>
      </c>
      <c r="I39" s="31"/>
      <c r="J39" s="35">
        <v>2717</v>
      </c>
      <c r="K39" s="75">
        <v>1304682.28</v>
      </c>
      <c r="L39" s="10">
        <f t="shared" si="2"/>
        <v>480.1922267206478</v>
      </c>
      <c r="M39" s="11">
        <f t="shared" si="3"/>
        <v>0.35483870967741937</v>
      </c>
      <c r="N39" s="12">
        <f t="shared" si="8"/>
        <v>-3</v>
      </c>
      <c r="O39" s="36">
        <f t="shared" si="11"/>
        <v>410.01333333334577</v>
      </c>
      <c r="P39" s="38"/>
      <c r="Q39" s="34">
        <v>724</v>
      </c>
      <c r="R39" s="64">
        <v>234099.43</v>
      </c>
      <c r="S39" s="60">
        <f t="shared" si="4"/>
        <v>323.34175414364643</v>
      </c>
      <c r="T39" s="11">
        <f t="shared" si="5"/>
        <v>9.7705802968960864E-2</v>
      </c>
      <c r="U39" s="14">
        <f t="shared" si="12"/>
        <v>-100</v>
      </c>
      <c r="V39" s="36">
        <f t="shared" si="10"/>
        <v>345.40499999999997</v>
      </c>
      <c r="W39" s="42"/>
    </row>
    <row r="40" spans="2:23" ht="12" customHeight="1" x14ac:dyDescent="0.25">
      <c r="B40" s="15">
        <f t="shared" si="9"/>
        <v>26</v>
      </c>
      <c r="C40" s="16">
        <f>5506+688</f>
        <v>6194</v>
      </c>
      <c r="D40" s="82">
        <f>372191.19+3953206.26</f>
        <v>4325397.45</v>
      </c>
      <c r="E40" s="10">
        <f t="shared" si="0"/>
        <v>698.32054407491125</v>
      </c>
      <c r="F40" s="11">
        <f t="shared" si="1"/>
        <v>0.83589743589743593</v>
      </c>
      <c r="G40" s="12">
        <f t="shared" si="6"/>
        <v>-6</v>
      </c>
      <c r="H40" s="36">
        <f t="shared" si="7"/>
        <v>-225.02666666669151</v>
      </c>
      <c r="I40" s="31"/>
      <c r="J40" s="35">
        <v>2636</v>
      </c>
      <c r="K40" s="75">
        <v>1269566.3</v>
      </c>
      <c r="L40" s="10">
        <f t="shared" si="2"/>
        <v>481.62606221547799</v>
      </c>
      <c r="M40" s="11">
        <f t="shared" si="3"/>
        <v>0.34426015410735272</v>
      </c>
      <c r="N40" s="12">
        <f t="shared" si="8"/>
        <v>-81</v>
      </c>
      <c r="O40" s="36">
        <f t="shared" si="11"/>
        <v>433.53061728395039</v>
      </c>
      <c r="P40" s="38"/>
      <c r="Q40" s="34">
        <v>732</v>
      </c>
      <c r="R40" s="64">
        <v>235939.43</v>
      </c>
      <c r="S40" s="60">
        <f t="shared" si="4"/>
        <v>322.32162568306012</v>
      </c>
      <c r="T40" s="11">
        <f t="shared" si="5"/>
        <v>9.8785425101214575E-2</v>
      </c>
      <c r="U40" s="14">
        <f t="shared" si="12"/>
        <v>8</v>
      </c>
      <c r="V40" s="36">
        <f t="shared" si="10"/>
        <v>230</v>
      </c>
      <c r="W40" s="42"/>
    </row>
    <row r="41" spans="2:23" ht="12" customHeight="1" x14ac:dyDescent="0.25">
      <c r="B41" s="15">
        <f t="shared" si="9"/>
        <v>27</v>
      </c>
      <c r="C41" s="16">
        <f>5748+474</f>
        <v>6222</v>
      </c>
      <c r="D41" s="82">
        <f>262829.12+4101750.57</f>
        <v>4364579.6899999995</v>
      </c>
      <c r="E41" s="10">
        <f t="shared" si="0"/>
        <v>701.47536001285755</v>
      </c>
      <c r="F41" s="11">
        <f t="shared" si="1"/>
        <v>0.83967611336032388</v>
      </c>
      <c r="G41" s="12">
        <f t="shared" si="6"/>
        <v>28</v>
      </c>
      <c r="H41" s="36">
        <f t="shared" si="7"/>
        <v>1399.3657142856889</v>
      </c>
      <c r="I41" s="31"/>
      <c r="J41" s="35">
        <v>2750</v>
      </c>
      <c r="K41" s="75">
        <v>1314171.31</v>
      </c>
      <c r="L41" s="10">
        <f t="shared" si="2"/>
        <v>477.88047636363638</v>
      </c>
      <c r="M41" s="11">
        <f t="shared" si="3"/>
        <v>0.35914849157633538</v>
      </c>
      <c r="N41" s="12">
        <f t="shared" si="8"/>
        <v>114</v>
      </c>
      <c r="O41" s="36">
        <f>(K41-K40)/N41</f>
        <v>391.2720175438597</v>
      </c>
      <c r="P41" s="38"/>
      <c r="Q41" s="34">
        <v>732</v>
      </c>
      <c r="R41" s="64">
        <v>235939.43</v>
      </c>
      <c r="S41" s="60">
        <f t="shared" si="4"/>
        <v>322.32162568306012</v>
      </c>
      <c r="T41" s="11">
        <f t="shared" si="5"/>
        <v>9.8785425101214575E-2</v>
      </c>
      <c r="U41" s="14">
        <v>0</v>
      </c>
      <c r="V41" s="36">
        <v>0</v>
      </c>
      <c r="W41" s="42"/>
    </row>
    <row r="42" spans="2:23" ht="12" customHeight="1" x14ac:dyDescent="0.25">
      <c r="B42" s="15">
        <f t="shared" si="9"/>
        <v>28</v>
      </c>
      <c r="C42" s="16">
        <f>5995+283</f>
        <v>6278</v>
      </c>
      <c r="D42" s="82">
        <f>159740.29+4255755.24</f>
        <v>4415495.53</v>
      </c>
      <c r="E42" s="10">
        <f t="shared" si="0"/>
        <v>703.3283736858873</v>
      </c>
      <c r="F42" s="11">
        <f t="shared" si="1"/>
        <v>0.84723346828609991</v>
      </c>
      <c r="G42" s="12">
        <f t="shared" si="6"/>
        <v>56</v>
      </c>
      <c r="H42" s="36">
        <f t="shared" si="7"/>
        <v>909.21142857144253</v>
      </c>
      <c r="I42" s="31"/>
      <c r="J42" s="35">
        <v>2713</v>
      </c>
      <c r="K42" s="75">
        <v>1305515.9099999999</v>
      </c>
      <c r="L42" s="10">
        <f t="shared" si="2"/>
        <v>481.2074861776631</v>
      </c>
      <c r="M42" s="11">
        <f t="shared" si="3"/>
        <v>0.35431631187149015</v>
      </c>
      <c r="N42" s="12">
        <f t="shared" si="8"/>
        <v>-37</v>
      </c>
      <c r="O42" s="36">
        <f t="shared" si="11"/>
        <v>233.92972972973351</v>
      </c>
      <c r="P42" s="38"/>
      <c r="Q42" s="34">
        <v>739</v>
      </c>
      <c r="R42" s="64">
        <v>240139.43</v>
      </c>
      <c r="S42" s="60">
        <f t="shared" si="4"/>
        <v>324.95186738836264</v>
      </c>
      <c r="T42" s="11">
        <f t="shared" si="5"/>
        <v>9.9730094466936578E-2</v>
      </c>
      <c r="U42" s="14">
        <f t="shared" si="12"/>
        <v>7</v>
      </c>
      <c r="V42" s="36">
        <f>(R42-R41)/-U42</f>
        <v>-600</v>
      </c>
      <c r="W42" s="42"/>
    </row>
    <row r="43" spans="2:23" ht="12" customHeight="1" x14ac:dyDescent="0.25">
      <c r="B43" s="15">
        <f t="shared" si="9"/>
        <v>29</v>
      </c>
      <c r="C43" s="16">
        <f>6163+137</f>
        <v>6300</v>
      </c>
      <c r="D43" s="82">
        <f>4370562.04+76105.31</f>
        <v>4446667.3499999996</v>
      </c>
      <c r="E43" s="10">
        <f t="shared" si="0"/>
        <v>705.8202142857142</v>
      </c>
      <c r="F43" s="11">
        <f t="shared" si="1"/>
        <v>0.8502024291497976</v>
      </c>
      <c r="G43" s="12">
        <f t="shared" si="6"/>
        <v>22</v>
      </c>
      <c r="H43" s="29">
        <f t="shared" si="7"/>
        <v>1416.9009090908803</v>
      </c>
      <c r="I43" s="31">
        <v>0</v>
      </c>
      <c r="J43" s="35">
        <v>2758</v>
      </c>
      <c r="K43" s="75">
        <v>1335371.75</v>
      </c>
      <c r="L43" s="10">
        <f t="shared" si="2"/>
        <v>484.18120014503262</v>
      </c>
      <c r="M43" s="11">
        <f t="shared" si="3"/>
        <v>0.36019328718819382</v>
      </c>
      <c r="N43" s="12">
        <f t="shared" si="8"/>
        <v>45</v>
      </c>
      <c r="O43" s="36">
        <f t="shared" si="11"/>
        <v>663.46311111111299</v>
      </c>
      <c r="P43" s="38"/>
      <c r="Q43" s="34">
        <v>743</v>
      </c>
      <c r="R43" s="64">
        <v>242539.43</v>
      </c>
      <c r="S43" s="60">
        <f t="shared" si="4"/>
        <v>326.43261103633915</v>
      </c>
      <c r="T43" s="11">
        <f t="shared" si="5"/>
        <v>0.10026990553306343</v>
      </c>
      <c r="U43" s="14">
        <f t="shared" si="12"/>
        <v>4</v>
      </c>
      <c r="V43" s="36">
        <f>(R43-R42)/U43</f>
        <v>600</v>
      </c>
      <c r="W43" s="42"/>
    </row>
    <row r="44" spans="2:23" ht="12" customHeight="1" x14ac:dyDescent="0.25">
      <c r="B44" s="15">
        <v>30</v>
      </c>
      <c r="C44" s="16">
        <v>6304</v>
      </c>
      <c r="D44" s="82">
        <v>4467300.6399999997</v>
      </c>
      <c r="E44" s="10">
        <f t="shared" si="0"/>
        <v>708.64540609137055</v>
      </c>
      <c r="F44" s="11">
        <f t="shared" si="1"/>
        <v>0.85074224021592437</v>
      </c>
      <c r="G44" s="12">
        <f t="shared" si="6"/>
        <v>4</v>
      </c>
      <c r="H44" s="29">
        <f t="shared" si="7"/>
        <v>5158.3225000000093</v>
      </c>
      <c r="I44" s="31"/>
      <c r="J44" s="35">
        <v>2809</v>
      </c>
      <c r="K44" s="75">
        <v>1359803.11</v>
      </c>
      <c r="L44" s="10">
        <f t="shared" si="2"/>
        <v>484.08797080811678</v>
      </c>
      <c r="M44" s="11">
        <f t="shared" si="3"/>
        <v>0.36685385921379132</v>
      </c>
      <c r="N44" s="12">
        <f t="shared" si="8"/>
        <v>51</v>
      </c>
      <c r="O44" s="36">
        <f t="shared" si="11"/>
        <v>479.04627450980593</v>
      </c>
      <c r="P44" s="38"/>
      <c r="Q44" s="34">
        <v>747</v>
      </c>
      <c r="R44" s="64">
        <v>245139.43</v>
      </c>
      <c r="S44" s="60">
        <f t="shared" si="4"/>
        <v>328.165234270415</v>
      </c>
      <c r="T44" s="11">
        <f t="shared" si="5"/>
        <v>0.10080971659919029</v>
      </c>
      <c r="U44" s="14">
        <f t="shared" si="12"/>
        <v>4</v>
      </c>
      <c r="V44" s="36">
        <f>(R44-R43)/U44</f>
        <v>650</v>
      </c>
      <c r="W44" s="42"/>
    </row>
    <row r="45" spans="2:23" ht="11.25" customHeight="1" thickBot="1" x14ac:dyDescent="0.3">
      <c r="B45" s="17">
        <v>31</v>
      </c>
      <c r="C45" s="18"/>
      <c r="D45" s="88"/>
      <c r="E45" s="19" t="e">
        <f t="shared" si="0"/>
        <v>#DIV/0!</v>
      </c>
      <c r="F45" s="20">
        <f t="shared" si="1"/>
        <v>0</v>
      </c>
      <c r="G45" s="89">
        <v>0</v>
      </c>
      <c r="H45" s="90" t="e">
        <f t="shared" si="7"/>
        <v>#DIV/0!</v>
      </c>
      <c r="I45" s="32"/>
      <c r="J45" s="37"/>
      <c r="K45" s="80"/>
      <c r="L45" s="19" t="e">
        <f t="shared" si="2"/>
        <v>#DIV/0!</v>
      </c>
      <c r="M45" s="20">
        <f t="shared" si="3"/>
        <v>0</v>
      </c>
      <c r="N45" s="89">
        <v>0</v>
      </c>
      <c r="O45" s="91" t="e">
        <f t="shared" si="11"/>
        <v>#DIV/0!</v>
      </c>
      <c r="P45" s="39"/>
      <c r="Q45" s="37"/>
      <c r="R45" s="88"/>
      <c r="S45" s="92" t="e">
        <f t="shared" si="4"/>
        <v>#DIV/0!</v>
      </c>
      <c r="T45" s="20">
        <f t="shared" si="5"/>
        <v>0</v>
      </c>
      <c r="U45" s="93">
        <v>0</v>
      </c>
      <c r="V45" s="91" t="e">
        <f>(R45-R44)/U45</f>
        <v>#DIV/0!</v>
      </c>
      <c r="W45" s="43"/>
    </row>
    <row r="46" spans="2:23" hidden="1" x14ac:dyDescent="0.25">
      <c r="B46" s="21"/>
      <c r="C46" s="21"/>
      <c r="D46" s="86"/>
      <c r="E46" s="21"/>
      <c r="F46" s="21"/>
      <c r="G46" s="21"/>
      <c r="H46" s="21"/>
    </row>
  </sheetData>
  <mergeCells count="14">
    <mergeCell ref="B12:V12"/>
    <mergeCell ref="N4:Q4"/>
    <mergeCell ref="N5:Q5"/>
    <mergeCell ref="R4:V4"/>
    <mergeCell ref="R5:V5"/>
    <mergeCell ref="O10:P10"/>
    <mergeCell ref="B7:W7"/>
    <mergeCell ref="B8:H8"/>
    <mergeCell ref="J8:O8"/>
    <mergeCell ref="Q8:V8"/>
    <mergeCell ref="F10:G10"/>
    <mergeCell ref="M10:N10"/>
    <mergeCell ref="T10:U10"/>
    <mergeCell ref="V10:W10"/>
  </mergeCells>
  <phoneticPr fontId="0" type="noConversion"/>
  <printOptions horizontalCentered="1"/>
  <pageMargins left="0.25" right="0.14000000000000001" top="0.4" bottom="0.18" header="0.5" footer="0.5"/>
  <pageSetup scale="9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4"/>
  <sheetViews>
    <sheetView topLeftCell="B1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8.28515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5" ht="36" customHeight="1" x14ac:dyDescent="0.25"/>
    <row r="3" spans="1:25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14</v>
      </c>
      <c r="C6" s="139"/>
      <c r="D6" s="139"/>
      <c r="E6" s="139"/>
      <c r="F6" s="139"/>
      <c r="G6" s="139"/>
      <c r="H6" s="140"/>
      <c r="I6" s="104"/>
      <c r="J6" s="141" t="s">
        <v>13</v>
      </c>
      <c r="K6" s="142"/>
      <c r="L6" s="142"/>
      <c r="M6" s="142"/>
      <c r="N6" s="142"/>
      <c r="O6" s="143"/>
      <c r="P6" s="104"/>
      <c r="Q6" s="141" t="s">
        <v>15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6050</v>
      </c>
      <c r="F7" s="25"/>
      <c r="G7" s="13" t="s">
        <v>6</v>
      </c>
      <c r="H7" s="65">
        <v>554.09</v>
      </c>
      <c r="I7" s="4"/>
      <c r="J7" s="24" t="s">
        <v>12</v>
      </c>
      <c r="K7" s="76"/>
      <c r="L7" s="13">
        <v>5820</v>
      </c>
      <c r="M7" s="25"/>
      <c r="N7" s="13" t="s">
        <v>6</v>
      </c>
      <c r="O7" s="94">
        <v>456.45</v>
      </c>
      <c r="P7" s="67"/>
      <c r="Q7" s="24" t="s">
        <v>12</v>
      </c>
      <c r="R7" s="76"/>
      <c r="S7" s="13">
        <v>5615</v>
      </c>
      <c r="T7" s="25"/>
      <c r="U7" s="13" t="s">
        <v>6</v>
      </c>
      <c r="V7" s="94">
        <v>451.96</v>
      </c>
      <c r="W7" s="67"/>
    </row>
    <row r="8" spans="1:25" ht="12" customHeight="1" x14ac:dyDescent="0.3">
      <c r="B8" s="2"/>
      <c r="C8" s="6" t="s">
        <v>5</v>
      </c>
      <c r="D8" s="77"/>
      <c r="E8" s="22">
        <v>0.79</v>
      </c>
      <c r="F8" s="128" t="s">
        <v>7</v>
      </c>
      <c r="G8" s="129"/>
      <c r="H8" s="153">
        <v>3352250</v>
      </c>
      <c r="I8" s="154"/>
      <c r="J8" s="6" t="s">
        <v>5</v>
      </c>
      <c r="K8" s="77"/>
      <c r="L8" s="22">
        <v>0.78500000000000003</v>
      </c>
      <c r="M8" s="128" t="s">
        <v>7</v>
      </c>
      <c r="N8" s="129"/>
      <c r="O8" s="153">
        <v>2656525</v>
      </c>
      <c r="P8" s="154"/>
      <c r="Q8" s="6" t="s">
        <v>5</v>
      </c>
      <c r="R8" s="77"/>
      <c r="S8" s="22">
        <v>0.73299999999999998</v>
      </c>
      <c r="T8" s="128" t="s">
        <v>7</v>
      </c>
      <c r="U8" s="144"/>
      <c r="V8" s="153">
        <v>2537750</v>
      </c>
      <c r="W8" s="154"/>
    </row>
    <row r="9" spans="1:25" ht="11.25" customHeight="1" x14ac:dyDescent="0.3">
      <c r="B9" s="2"/>
      <c r="C9" s="6" t="s">
        <v>11</v>
      </c>
      <c r="D9" s="77"/>
      <c r="E9" s="7">
        <f>247*31</f>
        <v>7657</v>
      </c>
      <c r="F9" s="3"/>
      <c r="G9" s="3"/>
      <c r="H9" s="59"/>
      <c r="I9" s="4"/>
      <c r="J9" s="6" t="s">
        <v>11</v>
      </c>
      <c r="K9" s="77"/>
      <c r="L9" s="7">
        <v>7410</v>
      </c>
      <c r="M9" s="3"/>
      <c r="N9" s="3"/>
      <c r="O9" s="59"/>
      <c r="P9" s="66"/>
      <c r="Q9" s="6" t="s">
        <v>11</v>
      </c>
      <c r="R9" s="77"/>
      <c r="S9" s="7">
        <v>7657</v>
      </c>
      <c r="T9" s="3"/>
      <c r="U9" s="3"/>
      <c r="V9" s="59"/>
      <c r="W9" s="67"/>
    </row>
    <row r="10" spans="1:25" ht="17.25" customHeight="1" thickBot="1" x14ac:dyDescent="0.35">
      <c r="B10" s="130" t="s">
        <v>31</v>
      </c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74"/>
      <c r="X10" s="69"/>
      <c r="Y10" s="56"/>
    </row>
    <row r="11" spans="1:25" ht="39" customHeight="1" x14ac:dyDescent="0.25">
      <c r="B11" s="26" t="s">
        <v>0</v>
      </c>
      <c r="C11" s="27" t="s">
        <v>1</v>
      </c>
      <c r="D11" s="78" t="s">
        <v>8</v>
      </c>
      <c r="E11" s="27" t="s">
        <v>2</v>
      </c>
      <c r="F11" s="27" t="s">
        <v>3</v>
      </c>
      <c r="G11" s="27" t="s">
        <v>4</v>
      </c>
      <c r="H11" s="28" t="s">
        <v>9</v>
      </c>
      <c r="I11" s="30"/>
      <c r="J11" s="33" t="s">
        <v>1</v>
      </c>
      <c r="K11" s="78" t="s">
        <v>8</v>
      </c>
      <c r="L11" s="27" t="s">
        <v>2</v>
      </c>
      <c r="M11" s="27" t="s">
        <v>3</v>
      </c>
      <c r="N11" s="27" t="s">
        <v>4</v>
      </c>
      <c r="O11" s="28" t="s">
        <v>9</v>
      </c>
      <c r="P11" s="30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1.25" customHeight="1" x14ac:dyDescent="0.25">
      <c r="B13" s="8">
        <v>1</v>
      </c>
      <c r="C13" s="9">
        <f>135+2764</f>
        <v>2899</v>
      </c>
      <c r="D13" s="55">
        <f>90750.24+1347275.44</f>
        <v>1438025.68</v>
      </c>
      <c r="E13" s="10">
        <f t="shared" ref="E13:E43" si="0">D13/C13</f>
        <v>496.04197309417037</v>
      </c>
      <c r="F13" s="11">
        <f t="shared" ref="F13:F43" si="1">C13/$E$9</f>
        <v>0.37860780984719866</v>
      </c>
      <c r="G13" s="12">
        <v>90</v>
      </c>
      <c r="H13" s="29">
        <v>869.13</v>
      </c>
      <c r="I13" s="31"/>
      <c r="J13" s="52">
        <v>783</v>
      </c>
      <c r="K13" s="79">
        <v>254652.93</v>
      </c>
      <c r="L13" s="10">
        <f t="shared" ref="L13:L43" si="2">K13/J13</f>
        <v>325.22724137931033</v>
      </c>
      <c r="M13" s="11">
        <f t="shared" ref="M13:M43" si="3">J13/$L$9</f>
        <v>0.10566801619433198</v>
      </c>
      <c r="N13" s="14">
        <v>36</v>
      </c>
      <c r="O13" s="36">
        <v>264.26</v>
      </c>
      <c r="P13" s="38"/>
      <c r="Q13" s="34">
        <v>413</v>
      </c>
      <c r="R13" s="64">
        <v>138272.76</v>
      </c>
      <c r="S13" s="60">
        <f t="shared" ref="S13:S43" si="4">R13/Q13</f>
        <v>334.80087167070218</v>
      </c>
      <c r="T13" s="11">
        <f t="shared" ref="T13:T43" si="5">Q13/$S$9</f>
        <v>5.3937573462191461E-2</v>
      </c>
      <c r="U13" s="14">
        <v>6</v>
      </c>
      <c r="V13" s="36">
        <v>226.66</v>
      </c>
      <c r="W13" s="42"/>
    </row>
    <row r="14" spans="1:25" ht="12" customHeight="1" x14ac:dyDescent="0.25">
      <c r="B14" s="15">
        <f>B13+1</f>
        <v>2</v>
      </c>
      <c r="C14" s="16">
        <f>273+2620</f>
        <v>2893</v>
      </c>
      <c r="D14" s="75">
        <f>185789.49+1292495.9</f>
        <v>1478285.39</v>
      </c>
      <c r="E14" s="10">
        <f t="shared" si="0"/>
        <v>510.98699965433804</v>
      </c>
      <c r="F14" s="11">
        <f t="shared" si="1"/>
        <v>0.37782421313830483</v>
      </c>
      <c r="G14" s="12">
        <f t="shared" ref="G14:G43" si="6">(C14-C13)</f>
        <v>-6</v>
      </c>
      <c r="H14" s="29">
        <f t="shared" ref="H14:H43" si="7">(D14-D13)/G14</f>
        <v>-6709.9516666666605</v>
      </c>
      <c r="I14" s="31"/>
      <c r="J14" s="35">
        <v>803</v>
      </c>
      <c r="K14" s="75">
        <v>263612.93</v>
      </c>
      <c r="L14" s="10">
        <f t="shared" si="2"/>
        <v>328.28509339975091</v>
      </c>
      <c r="M14" s="11">
        <f t="shared" si="3"/>
        <v>0.10836707152496626</v>
      </c>
      <c r="N14" s="12">
        <f t="shared" ref="N14:N43" si="8">(J14-J13)</f>
        <v>20</v>
      </c>
      <c r="O14" s="36">
        <f>-(K14-K13)/-N14</f>
        <v>448</v>
      </c>
      <c r="P14" s="38"/>
      <c r="Q14" s="34">
        <v>413</v>
      </c>
      <c r="R14" s="75">
        <v>138272.76</v>
      </c>
      <c r="S14" s="10">
        <f t="shared" si="4"/>
        <v>334.80087167070218</v>
      </c>
      <c r="T14" s="11">
        <f t="shared" si="5"/>
        <v>5.3937573462191461E-2</v>
      </c>
      <c r="U14" s="14">
        <f>Q14-Q13</f>
        <v>0</v>
      </c>
      <c r="V14" s="36">
        <v>0</v>
      </c>
      <c r="W14" s="42"/>
    </row>
    <row r="15" spans="1:25" ht="12" customHeight="1" x14ac:dyDescent="0.25">
      <c r="B15" s="15">
        <f>B14+1</f>
        <v>3</v>
      </c>
      <c r="C15" s="16">
        <f>417+2605</f>
        <v>3022</v>
      </c>
      <c r="D15" s="75">
        <f>285426.76+1285255.8</f>
        <v>1570682.56</v>
      </c>
      <c r="E15" s="10">
        <f t="shared" si="0"/>
        <v>519.74935804103245</v>
      </c>
      <c r="F15" s="11">
        <f t="shared" si="1"/>
        <v>0.39467154237952201</v>
      </c>
      <c r="G15" s="12">
        <f t="shared" si="6"/>
        <v>129</v>
      </c>
      <c r="H15" s="29">
        <f t="shared" si="7"/>
        <v>716.257131782947</v>
      </c>
      <c r="I15" s="31"/>
      <c r="J15" s="35">
        <v>803</v>
      </c>
      <c r="K15" s="75">
        <v>263812.93</v>
      </c>
      <c r="L15" s="10">
        <f t="shared" si="2"/>
        <v>328.53415940224158</v>
      </c>
      <c r="M15" s="11">
        <f t="shared" si="3"/>
        <v>0.10836707152496626</v>
      </c>
      <c r="N15" s="12">
        <f t="shared" si="8"/>
        <v>0</v>
      </c>
      <c r="O15" s="36">
        <v>0</v>
      </c>
      <c r="P15" s="38"/>
      <c r="Q15" s="34">
        <v>425</v>
      </c>
      <c r="R15" s="64">
        <v>142872.76</v>
      </c>
      <c r="S15" s="60">
        <f t="shared" si="4"/>
        <v>336.1712</v>
      </c>
      <c r="T15" s="11">
        <f t="shared" si="5"/>
        <v>5.5504766879979107E-2</v>
      </c>
      <c r="U15" s="14">
        <f>Q15-Q14</f>
        <v>12</v>
      </c>
      <c r="V15" s="36">
        <f>(R15-R14)/U15</f>
        <v>383.33333333333331</v>
      </c>
      <c r="W15" s="42"/>
    </row>
    <row r="16" spans="1:25" ht="12" customHeight="1" x14ac:dyDescent="0.25">
      <c r="B16" s="15">
        <v>4</v>
      </c>
      <c r="C16" s="16">
        <f>2623+608</f>
        <v>3231</v>
      </c>
      <c r="D16" s="75">
        <f>1286472.23+433621.56</f>
        <v>1720093.79</v>
      </c>
      <c r="E16" s="10">
        <f t="shared" si="0"/>
        <v>532.37195605075829</v>
      </c>
      <c r="F16" s="11">
        <f t="shared" si="1"/>
        <v>0.42196682773932348</v>
      </c>
      <c r="G16" s="12">
        <f t="shared" si="6"/>
        <v>209</v>
      </c>
      <c r="H16" s="29">
        <f t="shared" si="7"/>
        <v>714.88626794258369</v>
      </c>
      <c r="I16" s="31"/>
      <c r="J16" s="35">
        <v>834</v>
      </c>
      <c r="K16" s="75">
        <v>279800.43</v>
      </c>
      <c r="L16" s="10">
        <f t="shared" si="2"/>
        <v>335.49212230215829</v>
      </c>
      <c r="M16" s="11">
        <f t="shared" si="3"/>
        <v>0.11255060728744939</v>
      </c>
      <c r="N16" s="12">
        <f t="shared" si="8"/>
        <v>31</v>
      </c>
      <c r="O16" s="36">
        <f>-(K16-K15)/-N16</f>
        <v>515.72580645161293</v>
      </c>
      <c r="P16" s="38"/>
      <c r="Q16" s="34">
        <v>442</v>
      </c>
      <c r="R16" s="64">
        <v>145806.1</v>
      </c>
      <c r="S16" s="60">
        <f t="shared" si="4"/>
        <v>329.87805429864255</v>
      </c>
      <c r="T16" s="11">
        <f t="shared" si="5"/>
        <v>5.7724957555178265E-2</v>
      </c>
      <c r="U16" s="14">
        <f>Q16-Q15</f>
        <v>17</v>
      </c>
      <c r="V16" s="36">
        <f>(R16-R15)/U16</f>
        <v>172.54941176470567</v>
      </c>
      <c r="W16" s="42"/>
    </row>
    <row r="17" spans="2:23" ht="12" customHeight="1" x14ac:dyDescent="0.25">
      <c r="B17" s="15">
        <f t="shared" ref="B17:B41" si="9">B16+1</f>
        <v>5</v>
      </c>
      <c r="C17" s="16">
        <f>2583+814</f>
        <v>3397</v>
      </c>
      <c r="D17" s="82">
        <f>1260504.44+572304.3</f>
        <v>1832808.74</v>
      </c>
      <c r="E17" s="10">
        <f t="shared" si="0"/>
        <v>539.53745657933473</v>
      </c>
      <c r="F17" s="11">
        <f t="shared" si="1"/>
        <v>0.44364633668538594</v>
      </c>
      <c r="G17" s="12">
        <f t="shared" si="6"/>
        <v>166</v>
      </c>
      <c r="H17" s="29">
        <f t="shared" si="7"/>
        <v>679.00572289156594</v>
      </c>
      <c r="I17" s="31"/>
      <c r="J17" s="35">
        <v>859</v>
      </c>
      <c r="K17" s="75">
        <v>292528.77</v>
      </c>
      <c r="L17" s="10">
        <f t="shared" si="2"/>
        <v>340.54571594877768</v>
      </c>
      <c r="M17" s="11">
        <f t="shared" si="3"/>
        <v>0.11592442645074225</v>
      </c>
      <c r="N17" s="12">
        <f t="shared" si="8"/>
        <v>25</v>
      </c>
      <c r="O17" s="36">
        <f>(K17-K16)/N17</f>
        <v>509.13360000000102</v>
      </c>
      <c r="P17" s="38"/>
      <c r="Q17" s="34">
        <v>438</v>
      </c>
      <c r="R17" s="64">
        <v>142131.1</v>
      </c>
      <c r="S17" s="60">
        <f t="shared" si="4"/>
        <v>324.50022831050228</v>
      </c>
      <c r="T17" s="11">
        <f t="shared" si="5"/>
        <v>5.7202559749249052E-2</v>
      </c>
      <c r="U17" s="14">
        <f>Q17-Q16</f>
        <v>-4</v>
      </c>
      <c r="V17" s="36">
        <f>(R17-R16)/U17</f>
        <v>918.75</v>
      </c>
      <c r="W17" s="42"/>
    </row>
    <row r="18" spans="2:23" ht="12" customHeight="1" x14ac:dyDescent="0.25">
      <c r="B18" s="15">
        <f t="shared" si="9"/>
        <v>6</v>
      </c>
      <c r="C18" s="16">
        <f>2509+968</f>
        <v>3477</v>
      </c>
      <c r="D18" s="82">
        <f>1216302.87+669608.83</f>
        <v>1885911.7000000002</v>
      </c>
      <c r="E18" s="10">
        <f t="shared" si="0"/>
        <v>542.3962323842394</v>
      </c>
      <c r="F18" s="11">
        <f t="shared" si="1"/>
        <v>0.45409429280397023</v>
      </c>
      <c r="G18" s="12">
        <f t="shared" si="6"/>
        <v>80</v>
      </c>
      <c r="H18" s="29">
        <f t="shared" si="7"/>
        <v>663.78700000000242</v>
      </c>
      <c r="I18" s="31">
        <v>0</v>
      </c>
      <c r="J18" s="35">
        <v>879</v>
      </c>
      <c r="K18" s="75">
        <v>300018.8</v>
      </c>
      <c r="L18" s="10">
        <f t="shared" si="2"/>
        <v>341.31831626848691</v>
      </c>
      <c r="M18" s="11">
        <f t="shared" si="3"/>
        <v>0.11862348178137652</v>
      </c>
      <c r="N18" s="12">
        <f t="shared" si="8"/>
        <v>20</v>
      </c>
      <c r="O18" s="36">
        <f>(K18-K17)/N18</f>
        <v>374.50149999999849</v>
      </c>
      <c r="P18" s="38"/>
      <c r="Q18" s="34">
        <v>447</v>
      </c>
      <c r="R18" s="64">
        <v>146644.44</v>
      </c>
      <c r="S18" s="60">
        <f t="shared" si="4"/>
        <v>328.06362416107385</v>
      </c>
      <c r="T18" s="11">
        <f t="shared" si="5"/>
        <v>5.837795481258979E-2</v>
      </c>
      <c r="U18" s="14">
        <f>Q18-Q17</f>
        <v>9</v>
      </c>
      <c r="V18" s="36">
        <f t="shared" ref="V18:V40" si="10">(R18-R17)/U18</f>
        <v>501.48222222222182</v>
      </c>
      <c r="W18" s="42"/>
    </row>
    <row r="19" spans="2:23" ht="12" customHeight="1" x14ac:dyDescent="0.25">
      <c r="B19" s="15">
        <f t="shared" si="9"/>
        <v>7</v>
      </c>
      <c r="C19" s="16">
        <f>1094+2437</f>
        <v>3531</v>
      </c>
      <c r="D19" s="82">
        <f>1180430.62+749873.14</f>
        <v>1930303.7600000002</v>
      </c>
      <c r="E19" s="10">
        <f t="shared" si="0"/>
        <v>546.67339563862936</v>
      </c>
      <c r="F19" s="11">
        <f t="shared" si="1"/>
        <v>0.46114666318401465</v>
      </c>
      <c r="G19" s="12">
        <f t="shared" si="6"/>
        <v>54</v>
      </c>
      <c r="H19" s="29">
        <f t="shared" si="7"/>
        <v>822.07518518518623</v>
      </c>
      <c r="I19" s="31"/>
      <c r="J19" s="35">
        <v>889</v>
      </c>
      <c r="K19" s="75">
        <v>313923.8</v>
      </c>
      <c r="L19" s="10">
        <f t="shared" si="2"/>
        <v>353.12013498312712</v>
      </c>
      <c r="M19" s="11">
        <f t="shared" si="3"/>
        <v>0.11997300944669366</v>
      </c>
      <c r="N19" s="12">
        <f t="shared" si="8"/>
        <v>10</v>
      </c>
      <c r="O19" s="36">
        <f>-(K19-K18)/-N19</f>
        <v>1390.5</v>
      </c>
      <c r="P19" s="38"/>
      <c r="Q19" s="34">
        <v>447</v>
      </c>
      <c r="R19" s="64">
        <v>146644.44</v>
      </c>
      <c r="S19" s="60">
        <f t="shared" si="4"/>
        <v>328.06362416107385</v>
      </c>
      <c r="T19" s="11">
        <f t="shared" si="5"/>
        <v>5.837795481258979E-2</v>
      </c>
      <c r="U19" s="14">
        <v>0</v>
      </c>
      <c r="V19" s="36">
        <v>0</v>
      </c>
      <c r="W19" s="42"/>
    </row>
    <row r="20" spans="2:23" ht="12" customHeight="1" x14ac:dyDescent="0.25">
      <c r="B20" s="15">
        <f t="shared" si="9"/>
        <v>8</v>
      </c>
      <c r="C20" s="16">
        <f>2408+1234</f>
        <v>3642</v>
      </c>
      <c r="D20" s="82">
        <f>842049.64+1153343.36</f>
        <v>1995393</v>
      </c>
      <c r="E20" s="10">
        <f t="shared" si="0"/>
        <v>547.88385502471169</v>
      </c>
      <c r="F20" s="11">
        <f t="shared" si="1"/>
        <v>0.47564320229855034</v>
      </c>
      <c r="G20" s="12">
        <f t="shared" si="6"/>
        <v>111</v>
      </c>
      <c r="H20" s="29">
        <f t="shared" si="7"/>
        <v>586.38954954954738</v>
      </c>
      <c r="I20" s="31"/>
      <c r="J20" s="35">
        <v>934</v>
      </c>
      <c r="K20" s="75">
        <v>329842.15999999997</v>
      </c>
      <c r="L20" s="10">
        <f t="shared" si="2"/>
        <v>353.15006423982868</v>
      </c>
      <c r="M20" s="11">
        <f t="shared" si="3"/>
        <v>0.12604588394062077</v>
      </c>
      <c r="N20" s="12">
        <f t="shared" si="8"/>
        <v>45</v>
      </c>
      <c r="O20" s="36">
        <f>(K20-K19)/N20</f>
        <v>353.74133333333305</v>
      </c>
      <c r="P20" s="38"/>
      <c r="Q20" s="34">
        <v>453</v>
      </c>
      <c r="R20" s="64">
        <v>148294.44</v>
      </c>
      <c r="S20" s="60">
        <f t="shared" si="4"/>
        <v>327.36079470198678</v>
      </c>
      <c r="T20" s="11">
        <f t="shared" si="5"/>
        <v>5.9161551521483613E-2</v>
      </c>
      <c r="U20" s="14">
        <f t="shared" ref="U20:U43" si="11">Q20-Q19</f>
        <v>6</v>
      </c>
      <c r="V20" s="36">
        <f t="shared" si="10"/>
        <v>275</v>
      </c>
      <c r="W20" s="42"/>
    </row>
    <row r="21" spans="2:23" ht="12" customHeight="1" x14ac:dyDescent="0.25">
      <c r="B21" s="15">
        <f t="shared" si="9"/>
        <v>9</v>
      </c>
      <c r="C21" s="16">
        <f>2373+1393</f>
        <v>3766</v>
      </c>
      <c r="D21" s="82">
        <f>943916.93+1134083.73</f>
        <v>2078000.6600000001</v>
      </c>
      <c r="E21" s="10">
        <f t="shared" si="0"/>
        <v>551.7792511949018</v>
      </c>
      <c r="F21" s="11">
        <f t="shared" si="1"/>
        <v>0.49183753428235599</v>
      </c>
      <c r="G21" s="12">
        <f t="shared" si="6"/>
        <v>124</v>
      </c>
      <c r="H21" s="29">
        <f t="shared" si="7"/>
        <v>666.19080645161409</v>
      </c>
      <c r="I21" s="31"/>
      <c r="J21" s="35">
        <v>970</v>
      </c>
      <c r="K21" s="75">
        <v>340910.18</v>
      </c>
      <c r="L21" s="10">
        <f t="shared" si="2"/>
        <v>351.45379381443297</v>
      </c>
      <c r="M21" s="11">
        <f t="shared" si="3"/>
        <v>0.13090418353576247</v>
      </c>
      <c r="N21" s="12">
        <f t="shared" si="8"/>
        <v>36</v>
      </c>
      <c r="O21" s="36">
        <f t="shared" ref="O21:O43" si="12">(K21-K20)/N21</f>
        <v>307.4450000000005</v>
      </c>
      <c r="P21" s="38"/>
      <c r="Q21" s="34">
        <v>455</v>
      </c>
      <c r="R21" s="64">
        <v>148469.44</v>
      </c>
      <c r="S21" s="60">
        <f t="shared" si="4"/>
        <v>326.30646153846152</v>
      </c>
      <c r="T21" s="11">
        <f t="shared" si="5"/>
        <v>5.9422750424448216E-2</v>
      </c>
      <c r="U21" s="14">
        <f t="shared" si="11"/>
        <v>2</v>
      </c>
      <c r="V21" s="36">
        <v>0</v>
      </c>
      <c r="W21" s="42"/>
    </row>
    <row r="22" spans="2:23" ht="12" customHeight="1" x14ac:dyDescent="0.25">
      <c r="B22" s="15">
        <f t="shared" si="9"/>
        <v>10</v>
      </c>
      <c r="C22" s="16">
        <f>2322+1569</f>
        <v>3891</v>
      </c>
      <c r="D22" s="82">
        <f>1057133+1093993.48</f>
        <v>2151126.48</v>
      </c>
      <c r="E22" s="10">
        <f t="shared" si="0"/>
        <v>552.84669236700074</v>
      </c>
      <c r="F22" s="11">
        <f t="shared" si="1"/>
        <v>0.50816246571764401</v>
      </c>
      <c r="G22" s="12">
        <f t="shared" si="6"/>
        <v>125</v>
      </c>
      <c r="H22" s="29">
        <f t="shared" si="7"/>
        <v>585.00655999999867</v>
      </c>
      <c r="I22" s="31"/>
      <c r="J22" s="35">
        <v>1024</v>
      </c>
      <c r="K22" s="75">
        <v>366899.35</v>
      </c>
      <c r="L22" s="10">
        <f t="shared" si="2"/>
        <v>358.30014648437498</v>
      </c>
      <c r="M22" s="11">
        <f t="shared" si="3"/>
        <v>0.13819163292847503</v>
      </c>
      <c r="N22" s="12">
        <f t="shared" si="8"/>
        <v>54</v>
      </c>
      <c r="O22" s="36">
        <f t="shared" si="12"/>
        <v>481.2809259259256</v>
      </c>
      <c r="P22" s="38"/>
      <c r="Q22" s="34">
        <v>468</v>
      </c>
      <c r="R22" s="64">
        <v>155794.44</v>
      </c>
      <c r="S22" s="60">
        <f t="shared" si="4"/>
        <v>332.89410256410258</v>
      </c>
      <c r="T22" s="11">
        <f t="shared" si="5"/>
        <v>6.1120543293718167E-2</v>
      </c>
      <c r="U22" s="14">
        <f t="shared" si="11"/>
        <v>13</v>
      </c>
      <c r="V22" s="36">
        <f t="shared" si="10"/>
        <v>563.46153846153845</v>
      </c>
      <c r="W22" s="42"/>
    </row>
    <row r="23" spans="2:23" ht="12" customHeight="1" x14ac:dyDescent="0.25">
      <c r="B23" s="15">
        <f t="shared" si="9"/>
        <v>11</v>
      </c>
      <c r="C23" s="16">
        <f>2304+1753</f>
        <v>4057</v>
      </c>
      <c r="D23" s="82">
        <f>1083578.76+1175441.78</f>
        <v>2259020.54</v>
      </c>
      <c r="E23" s="10">
        <f t="shared" si="0"/>
        <v>556.82044367759431</v>
      </c>
      <c r="F23" s="11">
        <f t="shared" si="1"/>
        <v>0.52984197466370642</v>
      </c>
      <c r="G23" s="12">
        <f t="shared" si="6"/>
        <v>166</v>
      </c>
      <c r="H23" s="29">
        <f t="shared" si="7"/>
        <v>649.96421686747021</v>
      </c>
      <c r="I23" s="31"/>
      <c r="J23" s="35">
        <v>1046</v>
      </c>
      <c r="K23" s="75">
        <v>373548.95</v>
      </c>
      <c r="L23" s="10">
        <f t="shared" si="2"/>
        <v>357.12136711281073</v>
      </c>
      <c r="M23" s="11">
        <f t="shared" si="3"/>
        <v>0.14116059379217274</v>
      </c>
      <c r="N23" s="12">
        <f t="shared" si="8"/>
        <v>22</v>
      </c>
      <c r="O23" s="36">
        <f t="shared" si="12"/>
        <v>302.25454545454704</v>
      </c>
      <c r="P23" s="38"/>
      <c r="Q23" s="34">
        <v>469</v>
      </c>
      <c r="R23" s="64">
        <v>156069.44</v>
      </c>
      <c r="S23" s="60">
        <f t="shared" si="4"/>
        <v>332.77066098081025</v>
      </c>
      <c r="T23" s="11">
        <f t="shared" si="5"/>
        <v>6.1251142745200472E-2</v>
      </c>
      <c r="U23" s="14">
        <f t="shared" si="11"/>
        <v>1</v>
      </c>
      <c r="V23" s="36">
        <f t="shared" si="10"/>
        <v>275</v>
      </c>
      <c r="W23" s="42"/>
    </row>
    <row r="24" spans="2:23" ht="12" customHeight="1" x14ac:dyDescent="0.25">
      <c r="B24" s="15">
        <f t="shared" si="9"/>
        <v>12</v>
      </c>
      <c r="C24" s="16">
        <f>2280+1929</f>
        <v>4209</v>
      </c>
      <c r="D24" s="82">
        <f>1046398.25+1288709.81</f>
        <v>2335108.06</v>
      </c>
      <c r="E24" s="10">
        <f t="shared" si="0"/>
        <v>554.7892753623189</v>
      </c>
      <c r="F24" s="11">
        <f t="shared" si="1"/>
        <v>0.54969309128901656</v>
      </c>
      <c r="G24" s="12">
        <f t="shared" si="6"/>
        <v>152</v>
      </c>
      <c r="H24" s="29">
        <f t="shared" si="7"/>
        <v>500.57578947368432</v>
      </c>
      <c r="I24" s="31">
        <v>635.86</v>
      </c>
      <c r="J24" s="35">
        <v>1077</v>
      </c>
      <c r="K24" s="75">
        <v>385130.95</v>
      </c>
      <c r="L24" s="10">
        <f t="shared" si="2"/>
        <v>357.59605385329621</v>
      </c>
      <c r="M24" s="11">
        <f t="shared" si="3"/>
        <v>0.14534412955465587</v>
      </c>
      <c r="N24" s="12">
        <f t="shared" si="8"/>
        <v>31</v>
      </c>
      <c r="O24" s="36">
        <f t="shared" si="12"/>
        <v>373.61290322580646</v>
      </c>
      <c r="P24" s="38"/>
      <c r="Q24" s="34">
        <v>479</v>
      </c>
      <c r="R24" s="64">
        <v>159569.44</v>
      </c>
      <c r="S24" s="60">
        <f t="shared" si="4"/>
        <v>333.13035490605427</v>
      </c>
      <c r="T24" s="11">
        <f t="shared" si="5"/>
        <v>6.2557137260023502E-2</v>
      </c>
      <c r="U24" s="14">
        <f t="shared" si="11"/>
        <v>10</v>
      </c>
      <c r="V24" s="36">
        <f t="shared" si="10"/>
        <v>350</v>
      </c>
      <c r="W24" s="42"/>
    </row>
    <row r="25" spans="2:23" ht="12" customHeight="1" x14ac:dyDescent="0.25">
      <c r="B25" s="15">
        <f t="shared" si="9"/>
        <v>13</v>
      </c>
      <c r="C25" s="16">
        <f>2064+2231</f>
        <v>4295</v>
      </c>
      <c r="D25" s="82">
        <f>1361005.65+1026231.38</f>
        <v>2387237.0299999998</v>
      </c>
      <c r="E25" s="10">
        <f t="shared" si="0"/>
        <v>555.81770197904541</v>
      </c>
      <c r="F25" s="11">
        <f t="shared" si="1"/>
        <v>0.56092464411649468</v>
      </c>
      <c r="G25" s="12">
        <f t="shared" si="6"/>
        <v>86</v>
      </c>
      <c r="H25" s="29">
        <f t="shared" si="7"/>
        <v>606.15081395348534</v>
      </c>
      <c r="I25" s="31"/>
      <c r="J25" s="35">
        <v>1119</v>
      </c>
      <c r="K25" s="75">
        <v>400719.23</v>
      </c>
      <c r="L25" s="10">
        <f t="shared" si="2"/>
        <v>358.10476318141195</v>
      </c>
      <c r="M25" s="11">
        <f t="shared" si="3"/>
        <v>0.15101214574898786</v>
      </c>
      <c r="N25" s="12">
        <f t="shared" si="8"/>
        <v>42</v>
      </c>
      <c r="O25" s="36">
        <f t="shared" si="12"/>
        <v>371.14952380952309</v>
      </c>
      <c r="P25" s="38"/>
      <c r="Q25" s="34">
        <v>488</v>
      </c>
      <c r="R25" s="64">
        <v>162934.44</v>
      </c>
      <c r="S25" s="60">
        <f t="shared" si="4"/>
        <v>333.8820491803279</v>
      </c>
      <c r="T25" s="11">
        <f t="shared" si="5"/>
        <v>6.3732532323364247E-2</v>
      </c>
      <c r="U25" s="14">
        <f t="shared" si="11"/>
        <v>9</v>
      </c>
      <c r="V25" s="36">
        <f t="shared" si="10"/>
        <v>373.88888888888891</v>
      </c>
      <c r="W25" s="42"/>
    </row>
    <row r="26" spans="2:23" ht="12" customHeight="1" x14ac:dyDescent="0.25">
      <c r="B26" s="15">
        <f t="shared" si="9"/>
        <v>14</v>
      </c>
      <c r="C26" s="16">
        <f>2187+2143</f>
        <v>4330</v>
      </c>
      <c r="D26" s="82">
        <f>1430650.17+971430.84</f>
        <v>2402081.0099999998</v>
      </c>
      <c r="E26" s="10">
        <f t="shared" si="0"/>
        <v>554.75312009237871</v>
      </c>
      <c r="F26" s="11">
        <f t="shared" si="1"/>
        <v>0.56549562491837535</v>
      </c>
      <c r="G26" s="12">
        <f t="shared" si="6"/>
        <v>35</v>
      </c>
      <c r="H26" s="29">
        <f t="shared" si="7"/>
        <v>424.11371428571374</v>
      </c>
      <c r="I26" s="31"/>
      <c r="J26" s="35">
        <v>1156</v>
      </c>
      <c r="K26" s="75">
        <v>413915.92</v>
      </c>
      <c r="L26" s="10">
        <f t="shared" si="2"/>
        <v>358.05875432525949</v>
      </c>
      <c r="M26" s="11">
        <f t="shared" si="3"/>
        <v>0.15600539811066128</v>
      </c>
      <c r="N26" s="12">
        <f t="shared" si="8"/>
        <v>37</v>
      </c>
      <c r="O26" s="36">
        <f t="shared" si="12"/>
        <v>356.66729729729735</v>
      </c>
      <c r="P26" s="38"/>
      <c r="Q26" s="34">
        <v>480</v>
      </c>
      <c r="R26" s="64">
        <v>159384.44</v>
      </c>
      <c r="S26" s="60">
        <f t="shared" si="4"/>
        <v>332.05091666666669</v>
      </c>
      <c r="T26" s="11">
        <f t="shared" si="5"/>
        <v>6.2687736711505807E-2</v>
      </c>
      <c r="U26" s="14">
        <f t="shared" si="11"/>
        <v>-8</v>
      </c>
      <c r="V26" s="36">
        <f t="shared" si="10"/>
        <v>443.75</v>
      </c>
      <c r="W26" s="42"/>
    </row>
    <row r="27" spans="2:23" ht="12" customHeight="1" x14ac:dyDescent="0.25">
      <c r="B27" s="15">
        <f t="shared" si="9"/>
        <v>15</v>
      </c>
      <c r="C27" s="16">
        <f>2036+2346</f>
        <v>4382</v>
      </c>
      <c r="D27" s="82">
        <f>1522996.25+910136.38</f>
        <v>2433132.63</v>
      </c>
      <c r="E27" s="10">
        <f t="shared" si="0"/>
        <v>555.25619123687807</v>
      </c>
      <c r="F27" s="11">
        <f t="shared" si="1"/>
        <v>0.5722867963954551</v>
      </c>
      <c r="G27" s="12">
        <f t="shared" si="6"/>
        <v>52</v>
      </c>
      <c r="H27" s="29">
        <f t="shared" si="7"/>
        <v>597.14653846154056</v>
      </c>
      <c r="I27" s="31"/>
      <c r="J27" s="35">
        <v>1179</v>
      </c>
      <c r="K27" s="75">
        <v>419461.27</v>
      </c>
      <c r="L27" s="10">
        <f t="shared" si="2"/>
        <v>355.7771586089907</v>
      </c>
      <c r="M27" s="11">
        <f t="shared" si="3"/>
        <v>0.15910931174089069</v>
      </c>
      <c r="N27" s="12">
        <f t="shared" si="8"/>
        <v>23</v>
      </c>
      <c r="O27" s="36">
        <f t="shared" si="12"/>
        <v>241.10217391304499</v>
      </c>
      <c r="P27" s="38"/>
      <c r="Q27" s="34">
        <v>485</v>
      </c>
      <c r="R27" s="64">
        <v>158521.01</v>
      </c>
      <c r="S27" s="60">
        <f t="shared" si="4"/>
        <v>326.8474432989691</v>
      </c>
      <c r="T27" s="11">
        <f t="shared" si="5"/>
        <v>6.3340733968917332E-2</v>
      </c>
      <c r="U27" s="14">
        <f t="shared" si="11"/>
        <v>5</v>
      </c>
      <c r="V27" s="36">
        <f t="shared" si="10"/>
        <v>-172.68599999999861</v>
      </c>
      <c r="W27" s="42"/>
    </row>
    <row r="28" spans="2:23" ht="12" customHeight="1" x14ac:dyDescent="0.25">
      <c r="B28" s="15">
        <f t="shared" si="9"/>
        <v>16</v>
      </c>
      <c r="C28" s="16">
        <f>2544+1978</f>
        <v>4522</v>
      </c>
      <c r="D28" s="82">
        <f>888288.64+1625359.02</f>
        <v>2513647.66</v>
      </c>
      <c r="E28" s="10">
        <f t="shared" si="0"/>
        <v>555.87077841662983</v>
      </c>
      <c r="F28" s="11">
        <f t="shared" si="1"/>
        <v>0.59057071960297769</v>
      </c>
      <c r="G28" s="12">
        <f t="shared" si="6"/>
        <v>140</v>
      </c>
      <c r="H28" s="29">
        <f t="shared" si="7"/>
        <v>575.10735714285897</v>
      </c>
      <c r="I28" s="31"/>
      <c r="J28" s="35">
        <v>1201</v>
      </c>
      <c r="K28" s="75">
        <v>435833.24</v>
      </c>
      <c r="L28" s="10">
        <f t="shared" si="2"/>
        <v>362.89195670274768</v>
      </c>
      <c r="M28" s="11">
        <f t="shared" si="3"/>
        <v>0.1620782726045884</v>
      </c>
      <c r="N28" s="12">
        <f t="shared" si="8"/>
        <v>22</v>
      </c>
      <c r="O28" s="36">
        <f t="shared" si="12"/>
        <v>744.18045454545324</v>
      </c>
      <c r="P28" s="38"/>
      <c r="Q28" s="34">
        <v>522</v>
      </c>
      <c r="R28" s="64">
        <v>177097.69</v>
      </c>
      <c r="S28" s="60">
        <f t="shared" si="4"/>
        <v>339.26760536398467</v>
      </c>
      <c r="T28" s="11">
        <f t="shared" si="5"/>
        <v>6.8172913673762575E-2</v>
      </c>
      <c r="U28" s="14">
        <f t="shared" si="11"/>
        <v>37</v>
      </c>
      <c r="V28" s="36">
        <f t="shared" si="10"/>
        <v>502.07243243243227</v>
      </c>
      <c r="W28" s="42"/>
    </row>
    <row r="29" spans="2:23" ht="12" customHeight="1" x14ac:dyDescent="0.25">
      <c r="B29" s="15">
        <f t="shared" si="9"/>
        <v>17</v>
      </c>
      <c r="C29" s="16">
        <f>2758+1850</f>
        <v>4608</v>
      </c>
      <c r="D29" s="83">
        <f>1732919.83+836611.27</f>
        <v>2569531.1</v>
      </c>
      <c r="E29" s="10">
        <f t="shared" si="0"/>
        <v>557.6239366319445</v>
      </c>
      <c r="F29" s="11">
        <f t="shared" si="1"/>
        <v>0.60180227243045581</v>
      </c>
      <c r="G29" s="12">
        <f t="shared" si="6"/>
        <v>86</v>
      </c>
      <c r="H29" s="29">
        <f t="shared" si="7"/>
        <v>649.80744186046445</v>
      </c>
      <c r="I29" s="31"/>
      <c r="J29" s="35">
        <v>1407</v>
      </c>
      <c r="K29" s="75">
        <v>470304.68</v>
      </c>
      <c r="L29" s="10">
        <f t="shared" si="2"/>
        <v>334.26061122956645</v>
      </c>
      <c r="M29" s="11">
        <f t="shared" si="3"/>
        <v>0.18987854251012146</v>
      </c>
      <c r="N29" s="12">
        <f t="shared" si="8"/>
        <v>206</v>
      </c>
      <c r="O29" s="36">
        <f t="shared" si="12"/>
        <v>167.33708737864077</v>
      </c>
      <c r="P29" s="38"/>
      <c r="Q29" s="34">
        <v>534</v>
      </c>
      <c r="R29" s="64">
        <v>186697.69</v>
      </c>
      <c r="S29" s="60">
        <f t="shared" si="4"/>
        <v>349.6211423220974</v>
      </c>
      <c r="T29" s="11">
        <f t="shared" si="5"/>
        <v>6.9740107091550221E-2</v>
      </c>
      <c r="U29" s="14">
        <f t="shared" si="11"/>
        <v>12</v>
      </c>
      <c r="V29" s="36">
        <f t="shared" si="10"/>
        <v>800</v>
      </c>
      <c r="W29" s="42"/>
    </row>
    <row r="30" spans="2:23" ht="12" customHeight="1" x14ac:dyDescent="0.25">
      <c r="B30" s="15">
        <f t="shared" si="9"/>
        <v>18</v>
      </c>
      <c r="C30" s="16">
        <f>1623+2961</f>
        <v>4584</v>
      </c>
      <c r="D30" s="84">
        <f>1843210.96+743959.75</f>
        <v>2587170.71</v>
      </c>
      <c r="E30" s="10">
        <f t="shared" si="0"/>
        <v>564.3915161431064</v>
      </c>
      <c r="F30" s="11">
        <f t="shared" si="1"/>
        <v>0.59866788559488049</v>
      </c>
      <c r="G30" s="12">
        <f t="shared" si="6"/>
        <v>-24</v>
      </c>
      <c r="H30" s="29">
        <f t="shared" si="7"/>
        <v>-734.98374999999453</v>
      </c>
      <c r="I30" s="31"/>
      <c r="J30" s="35">
        <v>1480</v>
      </c>
      <c r="K30" s="75">
        <v>496370.42</v>
      </c>
      <c r="L30" s="10">
        <f t="shared" si="2"/>
        <v>335.3854189189189</v>
      </c>
      <c r="M30" s="11">
        <f t="shared" si="3"/>
        <v>0.19973009446693657</v>
      </c>
      <c r="N30" s="12">
        <f t="shared" si="8"/>
        <v>73</v>
      </c>
      <c r="O30" s="36">
        <f t="shared" si="12"/>
        <v>357.06493150684918</v>
      </c>
      <c r="P30" s="38"/>
      <c r="Q30" s="34">
        <v>533</v>
      </c>
      <c r="R30" s="64">
        <v>184897.69</v>
      </c>
      <c r="S30" s="60">
        <f t="shared" si="4"/>
        <v>346.89998123827394</v>
      </c>
      <c r="T30" s="11">
        <f t="shared" si="5"/>
        <v>6.9609507640067916E-2</v>
      </c>
      <c r="U30" s="14">
        <f t="shared" si="11"/>
        <v>-1</v>
      </c>
      <c r="V30" s="36">
        <f t="shared" si="10"/>
        <v>1800</v>
      </c>
      <c r="W30" s="42"/>
    </row>
    <row r="31" spans="2:23" ht="12" customHeight="1" x14ac:dyDescent="0.25">
      <c r="B31" s="15">
        <f t="shared" si="9"/>
        <v>19</v>
      </c>
      <c r="C31" s="16">
        <f>3190+1361</f>
        <v>4551</v>
      </c>
      <c r="D31" s="84">
        <f>1971124.69+608872.98</f>
        <v>2579997.67</v>
      </c>
      <c r="E31" s="10">
        <f t="shared" si="0"/>
        <v>566.90785981103056</v>
      </c>
      <c r="F31" s="11">
        <f t="shared" si="1"/>
        <v>0.59435810369596442</v>
      </c>
      <c r="G31" s="12">
        <f t="shared" si="6"/>
        <v>-33</v>
      </c>
      <c r="H31" s="29">
        <f t="shared" si="7"/>
        <v>217.3648484848496</v>
      </c>
      <c r="I31" s="31"/>
      <c r="J31" s="35">
        <v>1686</v>
      </c>
      <c r="K31" s="75">
        <v>580695.42000000004</v>
      </c>
      <c r="L31" s="10">
        <f t="shared" si="2"/>
        <v>344.42195729537372</v>
      </c>
      <c r="M31" s="11">
        <f t="shared" si="3"/>
        <v>0.22753036437246962</v>
      </c>
      <c r="N31" s="12">
        <f t="shared" si="8"/>
        <v>206</v>
      </c>
      <c r="O31" s="36">
        <f t="shared" si="12"/>
        <v>409.34466019417505</v>
      </c>
      <c r="P31" s="38"/>
      <c r="Q31" s="34">
        <v>532</v>
      </c>
      <c r="R31" s="64">
        <v>181147.69</v>
      </c>
      <c r="S31" s="60">
        <f t="shared" si="4"/>
        <v>340.50317669172932</v>
      </c>
      <c r="T31" s="11">
        <f t="shared" si="5"/>
        <v>6.9478908188585611E-2</v>
      </c>
      <c r="U31" s="14">
        <f t="shared" si="11"/>
        <v>-1</v>
      </c>
      <c r="V31" s="36">
        <f t="shared" si="10"/>
        <v>3750</v>
      </c>
      <c r="W31" s="42"/>
    </row>
    <row r="32" spans="2:23" ht="12" customHeight="1" x14ac:dyDescent="0.25">
      <c r="B32" s="15">
        <f t="shared" si="9"/>
        <v>20</v>
      </c>
      <c r="C32" s="16">
        <f>3391+1163</f>
        <v>4554</v>
      </c>
      <c r="D32" s="84">
        <f>510020.81+2096264.89</f>
        <v>2606285.6999999997</v>
      </c>
      <c r="E32" s="10">
        <f t="shared" si="0"/>
        <v>572.30691699604733</v>
      </c>
      <c r="F32" s="11">
        <f t="shared" si="1"/>
        <v>0.59474990205041134</v>
      </c>
      <c r="G32" s="12">
        <f t="shared" si="6"/>
        <v>3</v>
      </c>
      <c r="H32" s="29">
        <f t="shared" si="7"/>
        <v>8762.676666666599</v>
      </c>
      <c r="I32" s="31"/>
      <c r="J32" s="35">
        <v>1702</v>
      </c>
      <c r="K32" s="75">
        <v>588936.04</v>
      </c>
      <c r="L32" s="10">
        <f t="shared" si="2"/>
        <v>346.02587544065807</v>
      </c>
      <c r="M32" s="11">
        <f t="shared" si="3"/>
        <v>0.22968960863697707</v>
      </c>
      <c r="N32" s="12">
        <f t="shared" si="8"/>
        <v>16</v>
      </c>
      <c r="O32" s="36">
        <f t="shared" si="12"/>
        <v>515.03874999999971</v>
      </c>
      <c r="P32" s="38"/>
      <c r="Q32" s="34">
        <v>532</v>
      </c>
      <c r="R32" s="64">
        <v>181147.69</v>
      </c>
      <c r="S32" s="60">
        <f t="shared" si="4"/>
        <v>340.50317669172932</v>
      </c>
      <c r="T32" s="11">
        <f t="shared" si="5"/>
        <v>6.9478908188585611E-2</v>
      </c>
      <c r="U32" s="14">
        <v>0</v>
      </c>
      <c r="V32" s="36">
        <v>0</v>
      </c>
      <c r="W32" s="42"/>
    </row>
    <row r="33" spans="2:23" ht="12" customHeight="1" x14ac:dyDescent="0.25">
      <c r="B33" s="15">
        <f t="shared" si="9"/>
        <v>21</v>
      </c>
      <c r="C33" s="16">
        <f>3524+1058</f>
        <v>4582</v>
      </c>
      <c r="D33" s="82">
        <f>2170355.06+465282.39</f>
        <v>2635637.4500000002</v>
      </c>
      <c r="E33" s="10">
        <f t="shared" si="0"/>
        <v>575.21550632911396</v>
      </c>
      <c r="F33" s="11">
        <f t="shared" si="1"/>
        <v>0.59840668669191588</v>
      </c>
      <c r="G33" s="12">
        <f t="shared" si="6"/>
        <v>28</v>
      </c>
      <c r="H33" s="29">
        <f t="shared" si="7"/>
        <v>1048.2767857143024</v>
      </c>
      <c r="I33" s="31"/>
      <c r="J33" s="35">
        <v>1709</v>
      </c>
      <c r="K33" s="75">
        <v>590186.07999999996</v>
      </c>
      <c r="L33" s="10">
        <f t="shared" si="2"/>
        <v>345.34001170275013</v>
      </c>
      <c r="M33" s="11">
        <f t="shared" si="3"/>
        <v>0.23063427800269906</v>
      </c>
      <c r="N33" s="12">
        <f t="shared" si="8"/>
        <v>7</v>
      </c>
      <c r="O33" s="36">
        <f t="shared" si="12"/>
        <v>178.57714285713155</v>
      </c>
      <c r="P33" s="38"/>
      <c r="Q33" s="34">
        <v>537</v>
      </c>
      <c r="R33" s="64">
        <v>183647.69</v>
      </c>
      <c r="S33" s="60">
        <f t="shared" si="4"/>
        <v>341.98824953445063</v>
      </c>
      <c r="T33" s="11">
        <f t="shared" si="5"/>
        <v>7.0131905445997123E-2</v>
      </c>
      <c r="U33" s="14">
        <f t="shared" si="11"/>
        <v>5</v>
      </c>
      <c r="V33" s="36">
        <f t="shared" si="10"/>
        <v>500</v>
      </c>
      <c r="W33" s="42"/>
    </row>
    <row r="34" spans="2:23" ht="12" customHeight="1" x14ac:dyDescent="0.25">
      <c r="B34" s="15">
        <f t="shared" si="9"/>
        <v>22</v>
      </c>
      <c r="C34" s="16">
        <f>3651+1022</f>
        <v>4673</v>
      </c>
      <c r="D34" s="82">
        <f>458415.47+2234123.53</f>
        <v>2692539</v>
      </c>
      <c r="E34" s="10">
        <f t="shared" si="0"/>
        <v>576.19066980526429</v>
      </c>
      <c r="F34" s="11">
        <f t="shared" si="1"/>
        <v>0.61029123677680552</v>
      </c>
      <c r="G34" s="12">
        <f t="shared" si="6"/>
        <v>91</v>
      </c>
      <c r="H34" s="29">
        <f t="shared" si="7"/>
        <v>625.29175824175616</v>
      </c>
      <c r="I34" s="31"/>
      <c r="J34" s="35">
        <v>1864</v>
      </c>
      <c r="K34" s="75">
        <v>644670.28</v>
      </c>
      <c r="L34" s="10">
        <f t="shared" si="2"/>
        <v>345.85315450643776</v>
      </c>
      <c r="M34" s="11">
        <f t="shared" si="3"/>
        <v>0.25155195681511472</v>
      </c>
      <c r="N34" s="12">
        <f t="shared" si="8"/>
        <v>155</v>
      </c>
      <c r="O34" s="36">
        <f t="shared" si="12"/>
        <v>351.51096774193593</v>
      </c>
      <c r="P34" s="38"/>
      <c r="Q34" s="34">
        <v>540</v>
      </c>
      <c r="R34" s="64">
        <v>184022.69</v>
      </c>
      <c r="S34" s="60">
        <f t="shared" si="4"/>
        <v>340.78275925925925</v>
      </c>
      <c r="T34" s="11">
        <f t="shared" si="5"/>
        <v>7.0523703800444038E-2</v>
      </c>
      <c r="U34" s="14">
        <f t="shared" si="11"/>
        <v>3</v>
      </c>
      <c r="V34" s="36">
        <f t="shared" si="10"/>
        <v>125</v>
      </c>
      <c r="W34" s="42"/>
    </row>
    <row r="35" spans="2:23" ht="12" customHeight="1" x14ac:dyDescent="0.25">
      <c r="B35" s="15">
        <f t="shared" si="9"/>
        <v>23</v>
      </c>
      <c r="C35" s="16">
        <f>949+3817</f>
        <v>4766</v>
      </c>
      <c r="D35" s="82">
        <f>2320750.28+417941.21</f>
        <v>2738691.4899999998</v>
      </c>
      <c r="E35" s="10">
        <f t="shared" si="0"/>
        <v>574.63103021401594</v>
      </c>
      <c r="F35" s="11">
        <f t="shared" si="1"/>
        <v>0.62243698576465978</v>
      </c>
      <c r="G35" s="12">
        <f t="shared" si="6"/>
        <v>93</v>
      </c>
      <c r="H35" s="29">
        <f t="shared" si="7"/>
        <v>496.26333333333071</v>
      </c>
      <c r="I35" s="31"/>
      <c r="J35" s="35">
        <v>1899</v>
      </c>
      <c r="K35" s="75">
        <v>684043.64</v>
      </c>
      <c r="L35" s="10">
        <f t="shared" si="2"/>
        <v>360.21255397577676</v>
      </c>
      <c r="M35" s="11">
        <f t="shared" si="3"/>
        <v>0.25627530364372469</v>
      </c>
      <c r="N35" s="12">
        <f t="shared" si="8"/>
        <v>35</v>
      </c>
      <c r="O35" s="36">
        <f t="shared" si="12"/>
        <v>1124.9531428571424</v>
      </c>
      <c r="P35" s="38"/>
      <c r="Q35" s="34">
        <v>545</v>
      </c>
      <c r="R35" s="64">
        <v>184480.99</v>
      </c>
      <c r="S35" s="60">
        <f t="shared" si="4"/>
        <v>338.49722935779818</v>
      </c>
      <c r="T35" s="11">
        <f t="shared" si="5"/>
        <v>7.1176701057855563E-2</v>
      </c>
      <c r="U35" s="14">
        <f t="shared" si="11"/>
        <v>5</v>
      </c>
      <c r="V35" s="36">
        <f t="shared" si="10"/>
        <v>91.659999999997666</v>
      </c>
      <c r="W35" s="42"/>
    </row>
    <row r="36" spans="2:23" ht="12" customHeight="1" x14ac:dyDescent="0.25">
      <c r="B36" s="15">
        <f t="shared" si="9"/>
        <v>24</v>
      </c>
      <c r="C36" s="16">
        <f>3993+848</f>
        <v>4841</v>
      </c>
      <c r="D36" s="82">
        <f>2415206.85+377624.55</f>
        <v>2792831.4</v>
      </c>
      <c r="E36" s="10">
        <f t="shared" si="0"/>
        <v>576.91208428010736</v>
      </c>
      <c r="F36" s="11">
        <f t="shared" si="1"/>
        <v>0.63223194462583254</v>
      </c>
      <c r="G36" s="12">
        <f t="shared" si="6"/>
        <v>75</v>
      </c>
      <c r="H36" s="29">
        <f t="shared" si="7"/>
        <v>721.86546666666868</v>
      </c>
      <c r="I36" s="31"/>
      <c r="J36" s="35">
        <v>1991</v>
      </c>
      <c r="K36" s="75">
        <v>723758.2</v>
      </c>
      <c r="L36" s="10">
        <f t="shared" si="2"/>
        <v>363.51491712707178</v>
      </c>
      <c r="M36" s="11">
        <f t="shared" si="3"/>
        <v>0.26869095816464239</v>
      </c>
      <c r="N36" s="12">
        <f t="shared" si="8"/>
        <v>92</v>
      </c>
      <c r="O36" s="36">
        <f t="shared" si="12"/>
        <v>431.67999999999932</v>
      </c>
      <c r="P36" s="38"/>
      <c r="Q36" s="34">
        <v>577</v>
      </c>
      <c r="R36" s="64">
        <v>195672.68</v>
      </c>
      <c r="S36" s="60">
        <f t="shared" si="4"/>
        <v>339.12076256499131</v>
      </c>
      <c r="T36" s="11">
        <f t="shared" si="5"/>
        <v>7.5355883505289281E-2</v>
      </c>
      <c r="U36" s="14">
        <f t="shared" si="11"/>
        <v>32</v>
      </c>
      <c r="V36" s="36">
        <f t="shared" si="10"/>
        <v>349.74031250000007</v>
      </c>
      <c r="W36" s="42"/>
    </row>
    <row r="37" spans="2:23" ht="12" customHeight="1" x14ac:dyDescent="0.25">
      <c r="B37" s="15">
        <f t="shared" si="9"/>
        <v>25</v>
      </c>
      <c r="C37" s="16">
        <f>4167+739</f>
        <v>4906</v>
      </c>
      <c r="D37" s="82">
        <f>2509275.11+322616.67</f>
        <v>2831891.78</v>
      </c>
      <c r="E37" s="10">
        <f t="shared" si="0"/>
        <v>577.23028536485936</v>
      </c>
      <c r="F37" s="11">
        <f t="shared" si="1"/>
        <v>0.64072090897218237</v>
      </c>
      <c r="G37" s="12">
        <f t="shared" si="6"/>
        <v>65</v>
      </c>
      <c r="H37" s="29">
        <f t="shared" si="7"/>
        <v>600.92892307692136</v>
      </c>
      <c r="I37" s="31"/>
      <c r="J37" s="35">
        <v>2143</v>
      </c>
      <c r="K37" s="75">
        <v>794524.53</v>
      </c>
      <c r="L37" s="10">
        <f t="shared" si="2"/>
        <v>370.75339710685955</v>
      </c>
      <c r="M37" s="11">
        <f t="shared" si="3"/>
        <v>0.28920377867746289</v>
      </c>
      <c r="N37" s="12">
        <f t="shared" si="8"/>
        <v>152</v>
      </c>
      <c r="O37" s="36">
        <f t="shared" si="12"/>
        <v>465.56796052631626</v>
      </c>
      <c r="P37" s="38"/>
      <c r="Q37" s="34">
        <v>595</v>
      </c>
      <c r="R37" s="64">
        <v>209497.66</v>
      </c>
      <c r="S37" s="60">
        <f t="shared" si="4"/>
        <v>352.09690756302524</v>
      </c>
      <c r="T37" s="11">
        <f t="shared" si="5"/>
        <v>7.7706673631970744E-2</v>
      </c>
      <c r="U37" s="14">
        <f t="shared" si="11"/>
        <v>18</v>
      </c>
      <c r="V37" s="36">
        <f t="shared" si="10"/>
        <v>768.05444444444504</v>
      </c>
      <c r="W37" s="42"/>
    </row>
    <row r="38" spans="2:23" ht="12" customHeight="1" x14ac:dyDescent="0.25">
      <c r="B38" s="15">
        <f t="shared" si="9"/>
        <v>26</v>
      </c>
      <c r="C38" s="16">
        <f>647+4326</f>
        <v>4973</v>
      </c>
      <c r="D38" s="82">
        <f>283860.55+2592455.99</f>
        <v>2876316.54</v>
      </c>
      <c r="E38" s="10">
        <f t="shared" si="0"/>
        <v>578.38659561632824</v>
      </c>
      <c r="F38" s="11">
        <f t="shared" si="1"/>
        <v>0.64947107222149669</v>
      </c>
      <c r="G38" s="12">
        <f t="shared" si="6"/>
        <v>67</v>
      </c>
      <c r="H38" s="36">
        <f t="shared" si="7"/>
        <v>663.05611940298866</v>
      </c>
      <c r="I38" s="31"/>
      <c r="J38" s="35">
        <v>2298</v>
      </c>
      <c r="K38" s="75">
        <v>864401.07</v>
      </c>
      <c r="L38" s="10">
        <f t="shared" si="2"/>
        <v>376.15364229765009</v>
      </c>
      <c r="M38" s="11">
        <f t="shared" si="3"/>
        <v>0.31012145748987852</v>
      </c>
      <c r="N38" s="12">
        <f t="shared" si="8"/>
        <v>155</v>
      </c>
      <c r="O38" s="36">
        <f t="shared" si="12"/>
        <v>450.81638709677367</v>
      </c>
      <c r="P38" s="38"/>
      <c r="Q38" s="34">
        <v>614</v>
      </c>
      <c r="R38" s="64">
        <v>215761.02</v>
      </c>
      <c r="S38" s="60">
        <f t="shared" si="4"/>
        <v>351.40231270358305</v>
      </c>
      <c r="T38" s="11">
        <f t="shared" si="5"/>
        <v>8.0188063210134511E-2</v>
      </c>
      <c r="U38" s="14">
        <f t="shared" si="11"/>
        <v>19</v>
      </c>
      <c r="V38" s="36">
        <f t="shared" si="10"/>
        <v>329.65052631578874</v>
      </c>
      <c r="W38" s="42"/>
    </row>
    <row r="39" spans="2:23" ht="12" customHeight="1" x14ac:dyDescent="0.25">
      <c r="B39" s="15">
        <f t="shared" si="9"/>
        <v>27</v>
      </c>
      <c r="C39" s="16">
        <f>527+4468</f>
        <v>4995</v>
      </c>
      <c r="D39" s="82">
        <f>2668520.27+232542.33</f>
        <v>2901062.6</v>
      </c>
      <c r="E39" s="10">
        <f t="shared" si="0"/>
        <v>580.79331331331332</v>
      </c>
      <c r="F39" s="11">
        <f t="shared" si="1"/>
        <v>0.6523442601541074</v>
      </c>
      <c r="G39" s="12">
        <f t="shared" si="6"/>
        <v>22</v>
      </c>
      <c r="H39" s="36">
        <f t="shared" si="7"/>
        <v>1124.8209090909115</v>
      </c>
      <c r="I39" s="31"/>
      <c r="J39" s="35">
        <v>2284</v>
      </c>
      <c r="K39" s="75">
        <v>858569.35</v>
      </c>
      <c r="L39" s="10">
        <f t="shared" si="2"/>
        <v>375.90602014010506</v>
      </c>
      <c r="M39" s="11">
        <f t="shared" si="3"/>
        <v>0.30823211875843454</v>
      </c>
      <c r="N39" s="12">
        <f t="shared" si="8"/>
        <v>-14</v>
      </c>
      <c r="O39" s="36">
        <f>(K39-K38)/N39</f>
        <v>416.55142857142658</v>
      </c>
      <c r="P39" s="38"/>
      <c r="Q39" s="34">
        <v>637</v>
      </c>
      <c r="R39" s="64">
        <v>227831.02</v>
      </c>
      <c r="S39" s="60">
        <f t="shared" si="4"/>
        <v>357.66251177394031</v>
      </c>
      <c r="T39" s="11">
        <f t="shared" si="5"/>
        <v>8.3191850594227498E-2</v>
      </c>
      <c r="U39" s="14">
        <f t="shared" si="11"/>
        <v>23</v>
      </c>
      <c r="V39" s="36">
        <f t="shared" si="10"/>
        <v>524.78260869565213</v>
      </c>
      <c r="W39" s="42"/>
    </row>
    <row r="40" spans="2:23" ht="12" customHeight="1" x14ac:dyDescent="0.25">
      <c r="B40" s="15">
        <f t="shared" si="9"/>
        <v>28</v>
      </c>
      <c r="C40" s="16">
        <f>4599+423</f>
        <v>5022</v>
      </c>
      <c r="D40" s="82">
        <f>2738636.23+183448.93</f>
        <v>2922085.16</v>
      </c>
      <c r="E40" s="10">
        <f t="shared" si="0"/>
        <v>581.85686180804464</v>
      </c>
      <c r="F40" s="11">
        <f t="shared" si="1"/>
        <v>0.65587044534412953</v>
      </c>
      <c r="G40" s="12">
        <f t="shared" si="6"/>
        <v>27</v>
      </c>
      <c r="H40" s="36">
        <f t="shared" si="7"/>
        <v>778.61333333333539</v>
      </c>
      <c r="I40" s="31"/>
      <c r="J40" s="35">
        <v>2319</v>
      </c>
      <c r="K40" s="75">
        <v>878782</v>
      </c>
      <c r="L40" s="10">
        <f t="shared" si="2"/>
        <v>378.94868477792153</v>
      </c>
      <c r="M40" s="11">
        <f t="shared" si="3"/>
        <v>0.31295546558704451</v>
      </c>
      <c r="N40" s="12">
        <f t="shared" si="8"/>
        <v>35</v>
      </c>
      <c r="O40" s="36">
        <f t="shared" si="12"/>
        <v>577.50428571428642</v>
      </c>
      <c r="P40" s="38"/>
      <c r="Q40" s="34">
        <v>655</v>
      </c>
      <c r="R40" s="64">
        <v>235212.69</v>
      </c>
      <c r="S40" s="60">
        <f t="shared" si="4"/>
        <v>359.10334351145036</v>
      </c>
      <c r="T40" s="11">
        <f t="shared" si="5"/>
        <v>8.5542640720908975E-2</v>
      </c>
      <c r="U40" s="14">
        <f t="shared" si="11"/>
        <v>18</v>
      </c>
      <c r="V40" s="36">
        <f t="shared" si="10"/>
        <v>410.09277777777851</v>
      </c>
      <c r="W40" s="42"/>
    </row>
    <row r="41" spans="2:23" ht="12" customHeight="1" x14ac:dyDescent="0.25">
      <c r="B41" s="15">
        <f t="shared" si="9"/>
        <v>29</v>
      </c>
      <c r="C41" s="16">
        <f>4738+297</f>
        <v>5035</v>
      </c>
      <c r="D41" s="82">
        <f>2809104.38+132829.23</f>
        <v>2941933.61</v>
      </c>
      <c r="E41" s="10">
        <f t="shared" si="0"/>
        <v>584.29664548162862</v>
      </c>
      <c r="F41" s="11">
        <f t="shared" si="1"/>
        <v>0.65756823821339949</v>
      </c>
      <c r="G41" s="12">
        <f t="shared" si="6"/>
        <v>13</v>
      </c>
      <c r="H41" s="29">
        <f t="shared" si="7"/>
        <v>1526.8038461538247</v>
      </c>
      <c r="I41" s="31">
        <v>0</v>
      </c>
      <c r="J41" s="35">
        <v>2447</v>
      </c>
      <c r="K41" s="75">
        <v>938885.39</v>
      </c>
      <c r="L41" s="10">
        <f t="shared" si="2"/>
        <v>383.68834899877402</v>
      </c>
      <c r="M41" s="11">
        <f t="shared" si="3"/>
        <v>0.33022941970310393</v>
      </c>
      <c r="N41" s="12">
        <f t="shared" si="8"/>
        <v>128</v>
      </c>
      <c r="O41" s="36">
        <f t="shared" si="12"/>
        <v>469.55773437500011</v>
      </c>
      <c r="P41" s="38"/>
      <c r="Q41" s="34">
        <v>677</v>
      </c>
      <c r="R41" s="64">
        <v>241262.69</v>
      </c>
      <c r="S41" s="60">
        <f t="shared" si="4"/>
        <v>356.37029542097491</v>
      </c>
      <c r="T41" s="11">
        <f t="shared" si="5"/>
        <v>8.8415828653519657E-2</v>
      </c>
      <c r="U41" s="14">
        <f t="shared" si="11"/>
        <v>22</v>
      </c>
      <c r="V41" s="36">
        <f>(R41-R40)/U41</f>
        <v>275</v>
      </c>
      <c r="W41" s="42"/>
    </row>
    <row r="42" spans="2:23" ht="12" customHeight="1" x14ac:dyDescent="0.25">
      <c r="B42" s="15">
        <v>30</v>
      </c>
      <c r="C42" s="16">
        <f>4891+160</f>
        <v>5051</v>
      </c>
      <c r="D42" s="82">
        <f>72457.62+2889510.3</f>
        <v>2961967.92</v>
      </c>
      <c r="E42" s="111">
        <f t="shared" si="0"/>
        <v>586.41217976638291</v>
      </c>
      <c r="F42" s="112">
        <f t="shared" si="1"/>
        <v>0.65965782943711637</v>
      </c>
      <c r="G42" s="113">
        <f t="shared" si="6"/>
        <v>16</v>
      </c>
      <c r="H42" s="114">
        <f t="shared" si="7"/>
        <v>1252.1443750000035</v>
      </c>
      <c r="I42" s="115"/>
      <c r="J42" s="35">
        <v>2565</v>
      </c>
      <c r="K42" s="116">
        <v>993444.08</v>
      </c>
      <c r="L42" s="111">
        <f t="shared" si="2"/>
        <v>387.30763352826511</v>
      </c>
      <c r="M42" s="112">
        <f t="shared" si="3"/>
        <v>0.34615384615384615</v>
      </c>
      <c r="N42" s="113">
        <f t="shared" si="8"/>
        <v>118</v>
      </c>
      <c r="O42" s="117">
        <f t="shared" si="12"/>
        <v>462.3617796610165</v>
      </c>
      <c r="P42" s="118"/>
      <c r="Q42" s="35">
        <v>684</v>
      </c>
      <c r="R42" s="119">
        <v>243187.69</v>
      </c>
      <c r="S42" s="120">
        <f t="shared" si="4"/>
        <v>355.53755847953215</v>
      </c>
      <c r="T42" s="112">
        <f t="shared" si="5"/>
        <v>8.9330024813895778E-2</v>
      </c>
      <c r="U42" s="121">
        <f t="shared" si="11"/>
        <v>7</v>
      </c>
      <c r="V42" s="117">
        <f>(R42-R41)/U42</f>
        <v>275</v>
      </c>
      <c r="W42" s="42"/>
    </row>
    <row r="43" spans="2:23" ht="11.25" customHeight="1" thickBot="1" x14ac:dyDescent="0.3">
      <c r="B43" s="17">
        <v>31</v>
      </c>
      <c r="C43" s="18">
        <v>5063</v>
      </c>
      <c r="D43" s="88">
        <v>2978468.51</v>
      </c>
      <c r="E43" s="19">
        <f t="shared" si="0"/>
        <v>588.2813569030219</v>
      </c>
      <c r="F43" s="20">
        <f t="shared" si="1"/>
        <v>0.66122502285490403</v>
      </c>
      <c r="G43" s="122">
        <f t="shared" si="6"/>
        <v>12</v>
      </c>
      <c r="H43" s="90">
        <f t="shared" si="7"/>
        <v>1375.0491666666542</v>
      </c>
      <c r="I43" s="32"/>
      <c r="J43" s="37">
        <v>2767</v>
      </c>
      <c r="K43" s="80">
        <v>1072187.27</v>
      </c>
      <c r="L43" s="19">
        <f t="shared" si="2"/>
        <v>387.49088182146733</v>
      </c>
      <c r="M43" s="20">
        <f t="shared" si="3"/>
        <v>0.37341430499325234</v>
      </c>
      <c r="N43" s="122">
        <f t="shared" si="8"/>
        <v>202</v>
      </c>
      <c r="O43" s="91">
        <f t="shared" si="12"/>
        <v>389.81777227722802</v>
      </c>
      <c r="P43" s="39"/>
      <c r="Q43" s="37">
        <v>707</v>
      </c>
      <c r="R43" s="88">
        <v>243395.95</v>
      </c>
      <c r="S43" s="92">
        <f t="shared" si="4"/>
        <v>344.26584158415841</v>
      </c>
      <c r="T43" s="20">
        <f t="shared" si="5"/>
        <v>9.2333812197988765E-2</v>
      </c>
      <c r="U43" s="123">
        <f t="shared" si="11"/>
        <v>23</v>
      </c>
      <c r="V43" s="91">
        <f>(R43-R42)/U43</f>
        <v>9.0547826086960566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</sheetData>
  <mergeCells count="15">
    <mergeCell ref="B6:H6"/>
    <mergeCell ref="J6:O6"/>
    <mergeCell ref="Q6:V6"/>
    <mergeCell ref="F8:G8"/>
    <mergeCell ref="N3:Q3"/>
    <mergeCell ref="N4:Q4"/>
    <mergeCell ref="R3:V3"/>
    <mergeCell ref="R4:V4"/>
    <mergeCell ref="B5:W5"/>
    <mergeCell ref="B10:V10"/>
    <mergeCell ref="M8:N8"/>
    <mergeCell ref="O8:P8"/>
    <mergeCell ref="T8:U8"/>
    <mergeCell ref="V8:W8"/>
    <mergeCell ref="H8:I8"/>
  </mergeCells>
  <phoneticPr fontId="0" type="noConversion"/>
  <pageMargins left="0.75" right="0.64" top="0.9" bottom="0.68" header="0.5" footer="0.5"/>
  <pageSetup scale="9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44"/>
  <sheetViews>
    <sheetView topLeftCell="B1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8.28515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7" ht="37.5" customHeight="1" x14ac:dyDescent="0.25"/>
    <row r="3" spans="1:27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7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7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7" ht="17.25" customHeight="1" thickBot="1" x14ac:dyDescent="0.35">
      <c r="A6" s="1" t="s">
        <v>13</v>
      </c>
      <c r="B6" s="138" t="s">
        <v>13</v>
      </c>
      <c r="C6" s="139"/>
      <c r="D6" s="139"/>
      <c r="E6" s="139"/>
      <c r="F6" s="139"/>
      <c r="G6" s="139"/>
      <c r="H6" s="140"/>
      <c r="I6" s="104"/>
      <c r="J6" s="141" t="s">
        <v>15</v>
      </c>
      <c r="K6" s="142"/>
      <c r="L6" s="142"/>
      <c r="M6" s="142"/>
      <c r="N6" s="142"/>
      <c r="O6" s="143"/>
      <c r="P6" s="104"/>
      <c r="Q6" s="141" t="s">
        <v>24</v>
      </c>
      <c r="R6" s="142"/>
      <c r="S6" s="142"/>
      <c r="T6" s="142"/>
      <c r="U6" s="142"/>
      <c r="V6" s="143"/>
      <c r="W6" s="67"/>
    </row>
    <row r="7" spans="1:27" ht="12.75" customHeight="1" thickBot="1" x14ac:dyDescent="0.35">
      <c r="B7" s="23"/>
      <c r="C7" s="24" t="s">
        <v>12</v>
      </c>
      <c r="D7" s="76"/>
      <c r="E7" s="13">
        <v>5820</v>
      </c>
      <c r="F7" s="25"/>
      <c r="G7" s="13" t="s">
        <v>6</v>
      </c>
      <c r="H7" s="65">
        <v>456.45</v>
      </c>
      <c r="I7" s="4"/>
      <c r="J7" s="24" t="s">
        <v>12</v>
      </c>
      <c r="K7" s="76"/>
      <c r="L7" s="13">
        <v>5520</v>
      </c>
      <c r="M7" s="25"/>
      <c r="N7" s="13" t="s">
        <v>6</v>
      </c>
      <c r="O7" s="94">
        <v>485.86</v>
      </c>
      <c r="P7" s="67"/>
      <c r="Q7" s="24" t="s">
        <v>12</v>
      </c>
      <c r="R7" s="76"/>
      <c r="S7" s="13">
        <v>3610</v>
      </c>
      <c r="T7" s="25"/>
      <c r="U7" s="13" t="s">
        <v>6</v>
      </c>
      <c r="V7" s="95">
        <v>481.3</v>
      </c>
      <c r="W7" s="96"/>
    </row>
    <row r="8" spans="1:27" ht="12" customHeight="1" thickBot="1" x14ac:dyDescent="0.35">
      <c r="B8" s="2"/>
      <c r="C8" s="6" t="s">
        <v>5</v>
      </c>
      <c r="D8" s="77"/>
      <c r="E8" s="22">
        <v>0.78500000000000003</v>
      </c>
      <c r="F8" s="128" t="s">
        <v>7</v>
      </c>
      <c r="G8" s="129"/>
      <c r="H8" s="153">
        <v>2656525</v>
      </c>
      <c r="I8" s="154"/>
      <c r="J8" s="6" t="s">
        <v>5</v>
      </c>
      <c r="K8" s="77"/>
      <c r="L8" s="22">
        <v>0.745</v>
      </c>
      <c r="M8" s="128" t="s">
        <v>7</v>
      </c>
      <c r="N8" s="129"/>
      <c r="O8" s="153">
        <v>2681925</v>
      </c>
      <c r="P8" s="154"/>
      <c r="Q8" s="6" t="s">
        <v>5</v>
      </c>
      <c r="R8" s="77"/>
      <c r="S8" s="22">
        <v>0.47099999999999997</v>
      </c>
      <c r="T8" s="128" t="s">
        <v>7</v>
      </c>
      <c r="U8" s="144"/>
      <c r="V8" s="158">
        <v>1737500</v>
      </c>
      <c r="W8" s="159"/>
    </row>
    <row r="9" spans="1:27" ht="11.25" customHeight="1" x14ac:dyDescent="0.3">
      <c r="B9" s="2"/>
      <c r="C9" s="6" t="s">
        <v>11</v>
      </c>
      <c r="D9" s="77"/>
      <c r="E9" s="7">
        <v>7410</v>
      </c>
      <c r="F9" s="3"/>
      <c r="G9" s="3"/>
      <c r="H9" s="59"/>
      <c r="I9" s="4"/>
      <c r="J9" s="6" t="s">
        <v>11</v>
      </c>
      <c r="K9" s="77"/>
      <c r="L9" s="7">
        <v>7657</v>
      </c>
      <c r="M9" s="3"/>
      <c r="N9" s="3"/>
      <c r="O9" s="59"/>
      <c r="P9" s="66"/>
      <c r="Q9" s="6" t="s">
        <v>11</v>
      </c>
      <c r="R9" s="77"/>
      <c r="S9" s="7">
        <v>7657</v>
      </c>
      <c r="T9" s="3"/>
      <c r="U9" s="3"/>
      <c r="V9" s="97"/>
      <c r="W9" s="98"/>
    </row>
    <row r="10" spans="1:27" ht="17.25" customHeight="1" x14ac:dyDescent="0.3">
      <c r="B10" s="155" t="s">
        <v>32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7"/>
      <c r="W10" s="74"/>
      <c r="X10" s="69"/>
      <c r="Y10" s="56"/>
    </row>
    <row r="11" spans="1:27" ht="39" customHeight="1" x14ac:dyDescent="0.25">
      <c r="B11" s="99" t="s">
        <v>0</v>
      </c>
      <c r="C11" s="71" t="s">
        <v>1</v>
      </c>
      <c r="D11" s="87" t="s">
        <v>8</v>
      </c>
      <c r="E11" s="71" t="s">
        <v>2</v>
      </c>
      <c r="F11" s="71" t="s">
        <v>3</v>
      </c>
      <c r="G11" s="71" t="s">
        <v>4</v>
      </c>
      <c r="H11" s="100" t="s">
        <v>9</v>
      </c>
      <c r="I11" s="101"/>
      <c r="J11" s="70" t="s">
        <v>1</v>
      </c>
      <c r="K11" s="87" t="s">
        <v>8</v>
      </c>
      <c r="L11" s="71" t="s">
        <v>2</v>
      </c>
      <c r="M11" s="71" t="s">
        <v>3</v>
      </c>
      <c r="N11" s="71" t="s">
        <v>4</v>
      </c>
      <c r="O11" s="100" t="s">
        <v>9</v>
      </c>
      <c r="P11" s="101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7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7" ht="11.25" customHeight="1" x14ac:dyDescent="0.25">
      <c r="B13" s="8">
        <v>1</v>
      </c>
      <c r="C13" s="9">
        <f>2665+199</f>
        <v>2864</v>
      </c>
      <c r="D13" s="55">
        <f>1050368.51+106638.55</f>
        <v>1157007.06</v>
      </c>
      <c r="E13" s="10">
        <f t="shared" ref="E13:E43" si="0">D13/C13</f>
        <v>403.9829120111732</v>
      </c>
      <c r="F13" s="11">
        <f t="shared" ref="F13:F43" si="1">C13/$E$9</f>
        <v>0.38650472334682862</v>
      </c>
      <c r="G13" s="12">
        <f>C13-'May, June , July'!J43</f>
        <v>97</v>
      </c>
      <c r="H13" s="29">
        <f>(D13-'May, June , July'!K43)/'June,July,Aug '!G13</f>
        <v>874.43082474226844</v>
      </c>
      <c r="I13" s="31"/>
      <c r="J13" s="52">
        <v>754</v>
      </c>
      <c r="K13" s="79">
        <v>278038.71000000002</v>
      </c>
      <c r="L13" s="10">
        <f t="shared" ref="L13:L43" si="2">K13/J13</f>
        <v>368.75160477453585</v>
      </c>
      <c r="M13" s="11">
        <f t="shared" ref="M13:M43" si="3">J13/$L$9</f>
        <v>9.8471986417657045E-2</v>
      </c>
      <c r="N13" s="12">
        <f>J13-'May, June , July'!Q43</f>
        <v>47</v>
      </c>
      <c r="O13" s="36">
        <v>737.08</v>
      </c>
      <c r="P13" s="38"/>
      <c r="Q13" s="34">
        <v>216</v>
      </c>
      <c r="R13" s="64">
        <v>54970.46</v>
      </c>
      <c r="S13" s="60">
        <f t="shared" ref="S13:S43" si="4">R13/Q13</f>
        <v>254.49287037037035</v>
      </c>
      <c r="T13" s="11">
        <f t="shared" ref="T13:T43" si="5">Q13/$S$9</f>
        <v>2.8209481520177614E-2</v>
      </c>
      <c r="U13" s="14">
        <v>0</v>
      </c>
      <c r="V13" s="36">
        <v>0</v>
      </c>
      <c r="W13" s="42"/>
    </row>
    <row r="14" spans="1:27" ht="12" customHeight="1" x14ac:dyDescent="0.25">
      <c r="B14" s="15">
        <f>B13+1</f>
        <v>2</v>
      </c>
      <c r="C14" s="16">
        <f>432+2549</f>
        <v>2981</v>
      </c>
      <c r="D14" s="75">
        <f>228123.26+1008477.02</f>
        <v>1236600.28</v>
      </c>
      <c r="E14" s="10">
        <f t="shared" si="0"/>
        <v>414.82733310969473</v>
      </c>
      <c r="F14" s="11">
        <f t="shared" si="1"/>
        <v>0.40229419703103914</v>
      </c>
      <c r="G14" s="12">
        <f t="shared" ref="G14:G39" si="6">(C14-C13)</f>
        <v>117</v>
      </c>
      <c r="H14" s="29">
        <f t="shared" ref="H14:H43" si="7">(D14-D13)/G14</f>
        <v>680.28393162393138</v>
      </c>
      <c r="I14" s="31"/>
      <c r="J14" s="35">
        <v>780</v>
      </c>
      <c r="K14" s="75">
        <v>285713.71000000002</v>
      </c>
      <c r="L14" s="10">
        <f t="shared" si="2"/>
        <v>366.29962820512822</v>
      </c>
      <c r="M14" s="11">
        <f t="shared" si="3"/>
        <v>0.10186757215619695</v>
      </c>
      <c r="N14" s="12">
        <f t="shared" ref="N14:N42" si="8">(J14-J13)</f>
        <v>26</v>
      </c>
      <c r="O14" s="36">
        <f>-(K14-K13)/-N14</f>
        <v>295.19230769230768</v>
      </c>
      <c r="P14" s="38"/>
      <c r="Q14" s="34">
        <v>224</v>
      </c>
      <c r="R14" s="75">
        <v>57645.46</v>
      </c>
      <c r="S14" s="10">
        <f t="shared" si="4"/>
        <v>257.34580357142858</v>
      </c>
      <c r="T14" s="11">
        <f t="shared" si="5"/>
        <v>2.9254277132036044E-2</v>
      </c>
      <c r="U14" s="14">
        <f>Q14-Q13</f>
        <v>8</v>
      </c>
      <c r="V14" s="36">
        <f>(R14-R13)/U14</f>
        <v>334.375</v>
      </c>
      <c r="W14" s="42"/>
      <c r="AA14" s="1">
        <f>278038.71+1</f>
        <v>278039.71000000002</v>
      </c>
    </row>
    <row r="15" spans="1:27" ht="12" customHeight="1" x14ac:dyDescent="0.25">
      <c r="B15" s="15">
        <f>B14+1</f>
        <v>3</v>
      </c>
      <c r="C15" s="16">
        <f>2389+609</f>
        <v>2998</v>
      </c>
      <c r="D15" s="75">
        <f>318792.43+943465.08</f>
        <v>1262257.51</v>
      </c>
      <c r="E15" s="10">
        <f t="shared" si="0"/>
        <v>421.03319212808537</v>
      </c>
      <c r="F15" s="11">
        <f t="shared" si="1"/>
        <v>0.40458839406207825</v>
      </c>
      <c r="G15" s="12">
        <f t="shared" si="6"/>
        <v>17</v>
      </c>
      <c r="H15" s="29">
        <f t="shared" si="7"/>
        <v>1509.2488235294106</v>
      </c>
      <c r="I15" s="31"/>
      <c r="J15" s="35">
        <v>781</v>
      </c>
      <c r="K15" s="75">
        <v>286821.21000000002</v>
      </c>
      <c r="L15" s="10">
        <f t="shared" si="2"/>
        <v>367.2486683738797</v>
      </c>
      <c r="M15" s="11">
        <f t="shared" si="3"/>
        <v>0.10199817160767925</v>
      </c>
      <c r="N15" s="12">
        <f t="shared" si="8"/>
        <v>1</v>
      </c>
      <c r="O15" s="36">
        <f>-(K15-K14)/-N15</f>
        <v>1107.5</v>
      </c>
      <c r="P15" s="38"/>
      <c r="Q15" s="34">
        <v>225</v>
      </c>
      <c r="R15" s="64">
        <v>57970.46</v>
      </c>
      <c r="S15" s="60">
        <f t="shared" si="4"/>
        <v>257.64648888888888</v>
      </c>
      <c r="T15" s="11">
        <f t="shared" si="5"/>
        <v>2.9384876583518349E-2</v>
      </c>
      <c r="U15" s="14">
        <f>Q15-Q14</f>
        <v>1</v>
      </c>
      <c r="V15" s="36">
        <f>(R15-R14)/U15</f>
        <v>325</v>
      </c>
      <c r="W15" s="42"/>
    </row>
    <row r="16" spans="1:27" ht="12" customHeight="1" x14ac:dyDescent="0.25">
      <c r="B16" s="15">
        <v>4</v>
      </c>
      <c r="C16" s="16">
        <f>2283+760</f>
        <v>3043</v>
      </c>
      <c r="D16" s="75">
        <f>387740.62+899926.53</f>
        <v>1287667.1499999999</v>
      </c>
      <c r="E16" s="10">
        <f t="shared" si="0"/>
        <v>423.15713112060462</v>
      </c>
      <c r="F16" s="11">
        <f t="shared" si="1"/>
        <v>0.41066126855600538</v>
      </c>
      <c r="G16" s="12">
        <f t="shared" si="6"/>
        <v>45</v>
      </c>
      <c r="H16" s="29">
        <f t="shared" si="7"/>
        <v>564.65866666666443</v>
      </c>
      <c r="I16" s="31"/>
      <c r="J16" s="35">
        <v>796</v>
      </c>
      <c r="K16" s="75">
        <v>290186.25</v>
      </c>
      <c r="L16" s="10">
        <f t="shared" si="2"/>
        <v>364.5555904522613</v>
      </c>
      <c r="M16" s="11">
        <f t="shared" si="3"/>
        <v>0.1039571633799138</v>
      </c>
      <c r="N16" s="12">
        <f t="shared" si="8"/>
        <v>15</v>
      </c>
      <c r="O16" s="36">
        <f>-(K16-K15)/-N16</f>
        <v>224.33599999999859</v>
      </c>
      <c r="P16" s="38"/>
      <c r="Q16" s="34">
        <v>225</v>
      </c>
      <c r="R16" s="64">
        <v>57770.46</v>
      </c>
      <c r="S16" s="60">
        <f t="shared" si="4"/>
        <v>256.75759999999997</v>
      </c>
      <c r="T16" s="11">
        <f t="shared" si="5"/>
        <v>2.9384876583518349E-2</v>
      </c>
      <c r="U16" s="14">
        <f>Q16-Q15</f>
        <v>0</v>
      </c>
      <c r="V16" s="36">
        <v>0</v>
      </c>
      <c r="W16" s="42"/>
    </row>
    <row r="17" spans="2:23" ht="12" customHeight="1" x14ac:dyDescent="0.25">
      <c r="B17" s="15">
        <f t="shared" ref="B17:B41" si="9">B16+1</f>
        <v>5</v>
      </c>
      <c r="C17" s="16">
        <f>958+2130</f>
        <v>3088</v>
      </c>
      <c r="D17" s="82">
        <f>846033.18+475581.2</f>
        <v>1321614.3800000001</v>
      </c>
      <c r="E17" s="10">
        <f t="shared" si="0"/>
        <v>427.9839313471503</v>
      </c>
      <c r="F17" s="11">
        <f t="shared" si="1"/>
        <v>0.4167341430499325</v>
      </c>
      <c r="G17" s="12">
        <f t="shared" si="6"/>
        <v>45</v>
      </c>
      <c r="H17" s="29">
        <f t="shared" si="7"/>
        <v>754.3828888888936</v>
      </c>
      <c r="I17" s="31"/>
      <c r="J17" s="35">
        <v>808</v>
      </c>
      <c r="K17" s="75">
        <v>292261.19</v>
      </c>
      <c r="L17" s="10">
        <f t="shared" si="2"/>
        <v>361.70939356435645</v>
      </c>
      <c r="M17" s="11">
        <f t="shared" si="3"/>
        <v>0.10552435679770145</v>
      </c>
      <c r="N17" s="12">
        <f t="shared" si="8"/>
        <v>12</v>
      </c>
      <c r="O17" s="36">
        <f>(K17-K16)/N17</f>
        <v>172.91166666666686</v>
      </c>
      <c r="P17" s="38"/>
      <c r="Q17" s="34">
        <v>225</v>
      </c>
      <c r="R17" s="64">
        <v>57770.46</v>
      </c>
      <c r="S17" s="60">
        <f t="shared" si="4"/>
        <v>256.75759999999997</v>
      </c>
      <c r="T17" s="11">
        <f t="shared" si="5"/>
        <v>2.9384876583518349E-2</v>
      </c>
      <c r="U17" s="14">
        <v>0</v>
      </c>
      <c r="V17" s="36">
        <v>0</v>
      </c>
      <c r="W17" s="42"/>
    </row>
    <row r="18" spans="2:23" ht="12" customHeight="1" x14ac:dyDescent="0.25">
      <c r="B18" s="15">
        <f t="shared" si="9"/>
        <v>6</v>
      </c>
      <c r="C18" s="16">
        <f>1177+2147</f>
        <v>3324</v>
      </c>
      <c r="D18" s="82">
        <f>577618.44+874897.94</f>
        <v>1452516.38</v>
      </c>
      <c r="E18" s="10">
        <f t="shared" si="0"/>
        <v>436.97845367027674</v>
      </c>
      <c r="F18" s="11">
        <f t="shared" si="1"/>
        <v>0.44858299595141699</v>
      </c>
      <c r="G18" s="12">
        <f t="shared" si="6"/>
        <v>236</v>
      </c>
      <c r="H18" s="29">
        <f t="shared" si="7"/>
        <v>554.6694915254227</v>
      </c>
      <c r="I18" s="31">
        <v>0</v>
      </c>
      <c r="J18" s="35">
        <v>859</v>
      </c>
      <c r="K18" s="75">
        <v>348556.17</v>
      </c>
      <c r="L18" s="10">
        <f t="shared" si="2"/>
        <v>405.76969732246795</v>
      </c>
      <c r="M18" s="11">
        <f t="shared" si="3"/>
        <v>0.11218492882329895</v>
      </c>
      <c r="N18" s="12">
        <f t="shared" si="8"/>
        <v>51</v>
      </c>
      <c r="O18" s="36">
        <f>(K18-K17)/N18</f>
        <v>1103.8231372549017</v>
      </c>
      <c r="P18" s="38"/>
      <c r="Q18" s="34">
        <v>225</v>
      </c>
      <c r="R18" s="64">
        <v>57770.46</v>
      </c>
      <c r="S18" s="60">
        <f t="shared" si="4"/>
        <v>256.75759999999997</v>
      </c>
      <c r="T18" s="11">
        <f t="shared" si="5"/>
        <v>2.9384876583518349E-2</v>
      </c>
      <c r="U18" s="14">
        <v>0</v>
      </c>
      <c r="V18" s="36">
        <v>0</v>
      </c>
      <c r="W18" s="42"/>
    </row>
    <row r="19" spans="2:23" ht="12" customHeight="1" x14ac:dyDescent="0.25">
      <c r="B19" s="15">
        <f t="shared" si="9"/>
        <v>7</v>
      </c>
      <c r="C19" s="16">
        <f>1395+2007</f>
        <v>3402</v>
      </c>
      <c r="D19" s="82">
        <f>683083.64+827045.15</f>
        <v>1510128.79</v>
      </c>
      <c r="E19" s="10">
        <f t="shared" si="0"/>
        <v>443.89441211052321</v>
      </c>
      <c r="F19" s="11">
        <f t="shared" si="1"/>
        <v>0.4591093117408907</v>
      </c>
      <c r="G19" s="12">
        <f t="shared" si="6"/>
        <v>78</v>
      </c>
      <c r="H19" s="29">
        <f t="shared" si="7"/>
        <v>738.62064102564295</v>
      </c>
      <c r="I19" s="31"/>
      <c r="J19" s="35">
        <v>872</v>
      </c>
      <c r="K19" s="75">
        <v>353681.17</v>
      </c>
      <c r="L19" s="10">
        <f t="shared" si="2"/>
        <v>405.59767201834859</v>
      </c>
      <c r="M19" s="11">
        <f t="shared" si="3"/>
        <v>0.1138827216925689</v>
      </c>
      <c r="N19" s="12">
        <f t="shared" si="8"/>
        <v>13</v>
      </c>
      <c r="O19" s="36">
        <f>-(K19-K18)/-N19</f>
        <v>394.23076923076923</v>
      </c>
      <c r="P19" s="38"/>
      <c r="Q19" s="34">
        <v>225</v>
      </c>
      <c r="R19" s="64">
        <v>57770.46</v>
      </c>
      <c r="S19" s="60">
        <f t="shared" si="4"/>
        <v>256.75759999999997</v>
      </c>
      <c r="T19" s="11">
        <f t="shared" si="5"/>
        <v>2.9384876583518349E-2</v>
      </c>
      <c r="U19" s="14">
        <v>0</v>
      </c>
      <c r="V19" s="36">
        <v>0</v>
      </c>
      <c r="W19" s="42"/>
    </row>
    <row r="20" spans="2:23" ht="12" customHeight="1" x14ac:dyDescent="0.25">
      <c r="B20" s="15">
        <f t="shared" si="9"/>
        <v>8</v>
      </c>
      <c r="C20" s="16">
        <f>1960+1609</f>
        <v>3569</v>
      </c>
      <c r="D20" s="82">
        <f>815637.89+788087.38</f>
        <v>1603725.27</v>
      </c>
      <c r="E20" s="10">
        <f t="shared" si="0"/>
        <v>449.34863267021575</v>
      </c>
      <c r="F20" s="11">
        <f t="shared" si="1"/>
        <v>0.48164642375168693</v>
      </c>
      <c r="G20" s="12">
        <f t="shared" si="6"/>
        <v>167</v>
      </c>
      <c r="H20" s="29">
        <f t="shared" si="7"/>
        <v>560.45796407185617</v>
      </c>
      <c r="I20" s="31"/>
      <c r="J20" s="35">
        <v>883</v>
      </c>
      <c r="K20" s="75">
        <v>365954.52</v>
      </c>
      <c r="L20" s="10">
        <f t="shared" si="2"/>
        <v>414.44453001132507</v>
      </c>
      <c r="M20" s="11">
        <f t="shared" si="3"/>
        <v>0.11531931565887424</v>
      </c>
      <c r="N20" s="12">
        <f t="shared" si="8"/>
        <v>11</v>
      </c>
      <c r="O20" s="36">
        <f>(K20-K19)/N20</f>
        <v>1115.7590909090941</v>
      </c>
      <c r="P20" s="38"/>
      <c r="Q20" s="34">
        <v>225</v>
      </c>
      <c r="R20" s="64">
        <v>57770.46</v>
      </c>
      <c r="S20" s="60">
        <f t="shared" si="4"/>
        <v>256.75759999999997</v>
      </c>
      <c r="T20" s="11">
        <f t="shared" si="5"/>
        <v>2.9384876583518349E-2</v>
      </c>
      <c r="U20" s="14">
        <v>0</v>
      </c>
      <c r="V20" s="36">
        <v>0</v>
      </c>
      <c r="W20" s="42"/>
    </row>
    <row r="21" spans="2:23" ht="12" customHeight="1" x14ac:dyDescent="0.25">
      <c r="B21" s="15">
        <f t="shared" si="9"/>
        <v>9</v>
      </c>
      <c r="C21" s="16">
        <f>1828+1927</f>
        <v>3755</v>
      </c>
      <c r="D21" s="82">
        <f>901697.91+818046.8</f>
        <v>1719744.71</v>
      </c>
      <c r="E21" s="10">
        <f t="shared" si="0"/>
        <v>457.98793874833552</v>
      </c>
      <c r="F21" s="11">
        <f t="shared" si="1"/>
        <v>0.50674763832658565</v>
      </c>
      <c r="G21" s="12">
        <f t="shared" si="6"/>
        <v>186</v>
      </c>
      <c r="H21" s="29">
        <f t="shared" si="7"/>
        <v>623.76043010752653</v>
      </c>
      <c r="I21" s="31"/>
      <c r="J21" s="35">
        <v>930</v>
      </c>
      <c r="K21" s="75">
        <v>380312.84</v>
      </c>
      <c r="L21" s="10">
        <f t="shared" si="2"/>
        <v>408.93853763440865</v>
      </c>
      <c r="M21" s="11">
        <f t="shared" si="3"/>
        <v>0.1214574898785425</v>
      </c>
      <c r="N21" s="12">
        <f t="shared" si="8"/>
        <v>47</v>
      </c>
      <c r="O21" s="36">
        <f t="shared" ref="O21:O43" si="10">(K21-K20)/N21</f>
        <v>305.49617021276612</v>
      </c>
      <c r="P21" s="38"/>
      <c r="Q21" s="34">
        <v>229</v>
      </c>
      <c r="R21" s="64">
        <v>58870.46</v>
      </c>
      <c r="S21" s="60">
        <f t="shared" si="4"/>
        <v>257.0762445414847</v>
      </c>
      <c r="T21" s="11">
        <f t="shared" si="5"/>
        <v>2.9907274389447566E-2</v>
      </c>
      <c r="U21" s="14">
        <f>Q21-Q20</f>
        <v>4</v>
      </c>
      <c r="V21" s="36">
        <f>(R21-R20)/U21</f>
        <v>275</v>
      </c>
      <c r="W21" s="42"/>
    </row>
    <row r="22" spans="2:23" ht="12" customHeight="1" x14ac:dyDescent="0.25">
      <c r="B22" s="15">
        <f t="shared" si="9"/>
        <v>10</v>
      </c>
      <c r="C22" s="16">
        <f>1828+1971</f>
        <v>3799</v>
      </c>
      <c r="D22" s="82">
        <f>777651.67+966740.04</f>
        <v>1744391.71</v>
      </c>
      <c r="E22" s="10">
        <f t="shared" si="0"/>
        <v>459.17128454856538</v>
      </c>
      <c r="F22" s="11">
        <f t="shared" si="1"/>
        <v>0.51268556005398114</v>
      </c>
      <c r="G22" s="12">
        <f t="shared" si="6"/>
        <v>44</v>
      </c>
      <c r="H22" s="29">
        <f t="shared" si="7"/>
        <v>560.15909090909088</v>
      </c>
      <c r="I22" s="31"/>
      <c r="J22" s="35">
        <v>958</v>
      </c>
      <c r="K22" s="75">
        <v>404252.84</v>
      </c>
      <c r="L22" s="10">
        <f t="shared" si="2"/>
        <v>421.97582463465557</v>
      </c>
      <c r="M22" s="11">
        <f t="shared" si="3"/>
        <v>0.125114274520047</v>
      </c>
      <c r="N22" s="12">
        <f t="shared" si="8"/>
        <v>28</v>
      </c>
      <c r="O22" s="36">
        <f t="shared" si="10"/>
        <v>855</v>
      </c>
      <c r="P22" s="38"/>
      <c r="Q22" s="34">
        <v>234</v>
      </c>
      <c r="R22" s="64">
        <v>59720.46</v>
      </c>
      <c r="S22" s="60">
        <f t="shared" si="4"/>
        <v>255.21564102564102</v>
      </c>
      <c r="T22" s="11">
        <f t="shared" si="5"/>
        <v>3.0560271646859084E-2</v>
      </c>
      <c r="U22" s="14">
        <f>Q22-Q21</f>
        <v>5</v>
      </c>
      <c r="V22" s="36">
        <f t="shared" ref="V22:V40" si="11">(R22-R21)/U22</f>
        <v>170</v>
      </c>
      <c r="W22" s="42"/>
    </row>
    <row r="23" spans="2:23" ht="12" customHeight="1" x14ac:dyDescent="0.25">
      <c r="B23" s="15">
        <f t="shared" si="9"/>
        <v>11</v>
      </c>
      <c r="C23" s="16">
        <f>1736+2085</f>
        <v>3821</v>
      </c>
      <c r="D23" s="82">
        <f>746822.4+1025539.99</f>
        <v>1772362.3900000001</v>
      </c>
      <c r="E23" s="10">
        <f t="shared" si="0"/>
        <v>463.8477859199163</v>
      </c>
      <c r="F23" s="11">
        <f t="shared" si="1"/>
        <v>0.51565452091767883</v>
      </c>
      <c r="G23" s="12">
        <f t="shared" si="6"/>
        <v>22</v>
      </c>
      <c r="H23" s="29">
        <f t="shared" si="7"/>
        <v>1271.3945454545531</v>
      </c>
      <c r="I23" s="31"/>
      <c r="J23" s="35">
        <v>972</v>
      </c>
      <c r="K23" s="75">
        <v>408802.84</v>
      </c>
      <c r="L23" s="10">
        <f t="shared" si="2"/>
        <v>420.57905349794243</v>
      </c>
      <c r="M23" s="11">
        <f t="shared" si="3"/>
        <v>0.12694266684079927</v>
      </c>
      <c r="N23" s="12">
        <f t="shared" si="8"/>
        <v>14</v>
      </c>
      <c r="O23" s="36">
        <f t="shared" si="10"/>
        <v>325</v>
      </c>
      <c r="P23" s="38"/>
      <c r="Q23" s="34">
        <v>234</v>
      </c>
      <c r="R23" s="64">
        <v>59720.46</v>
      </c>
      <c r="S23" s="60">
        <f t="shared" si="4"/>
        <v>255.21564102564102</v>
      </c>
      <c r="T23" s="11">
        <f t="shared" si="5"/>
        <v>3.0560271646859084E-2</v>
      </c>
      <c r="U23" s="14">
        <f>Q23-Q22</f>
        <v>0</v>
      </c>
      <c r="V23" s="36">
        <v>0</v>
      </c>
      <c r="W23" s="42"/>
    </row>
    <row r="24" spans="2:23" ht="12" customHeight="1" x14ac:dyDescent="0.25">
      <c r="B24" s="15">
        <f t="shared" si="9"/>
        <v>12</v>
      </c>
      <c r="C24" s="16">
        <f>2230+1746</f>
        <v>3976</v>
      </c>
      <c r="D24" s="82">
        <f>749152.88+1097559.52</f>
        <v>1846712.4</v>
      </c>
      <c r="E24" s="10">
        <f t="shared" si="0"/>
        <v>464.46488933601609</v>
      </c>
      <c r="F24" s="11">
        <f t="shared" si="1"/>
        <v>0.53657219973009451</v>
      </c>
      <c r="G24" s="12">
        <f t="shared" si="6"/>
        <v>155</v>
      </c>
      <c r="H24" s="29">
        <f t="shared" si="7"/>
        <v>479.67748387096628</v>
      </c>
      <c r="I24" s="31">
        <v>635.86</v>
      </c>
      <c r="J24" s="35">
        <v>1086</v>
      </c>
      <c r="K24" s="75">
        <v>460205.51</v>
      </c>
      <c r="L24" s="10">
        <f t="shared" si="2"/>
        <v>423.76197974217314</v>
      </c>
      <c r="M24" s="11">
        <f t="shared" si="3"/>
        <v>0.14183100430978191</v>
      </c>
      <c r="N24" s="12">
        <f t="shared" si="8"/>
        <v>114</v>
      </c>
      <c r="O24" s="36">
        <f t="shared" si="10"/>
        <v>450.90061403508759</v>
      </c>
      <c r="P24" s="38"/>
      <c r="Q24" s="34">
        <v>234</v>
      </c>
      <c r="R24" s="64">
        <v>59720.46</v>
      </c>
      <c r="S24" s="60">
        <f t="shared" si="4"/>
        <v>255.21564102564102</v>
      </c>
      <c r="T24" s="11">
        <f t="shared" si="5"/>
        <v>3.0560271646859084E-2</v>
      </c>
      <c r="U24" s="14">
        <v>0</v>
      </c>
      <c r="V24" s="36">
        <v>0</v>
      </c>
      <c r="W24" s="42"/>
    </row>
    <row r="25" spans="2:23" ht="12" customHeight="1" x14ac:dyDescent="0.25">
      <c r="B25" s="15">
        <f t="shared" si="9"/>
        <v>13</v>
      </c>
      <c r="C25" s="16">
        <f>1661+2412</f>
        <v>4073</v>
      </c>
      <c r="D25" s="82">
        <f>722105.72+1194483.46</f>
        <v>1916589.18</v>
      </c>
      <c r="E25" s="10">
        <f t="shared" si="0"/>
        <v>470.55958261723544</v>
      </c>
      <c r="F25" s="11">
        <f t="shared" si="1"/>
        <v>0.54966261808367067</v>
      </c>
      <c r="G25" s="12">
        <f t="shared" si="6"/>
        <v>97</v>
      </c>
      <c r="H25" s="29">
        <f t="shared" si="7"/>
        <v>720.3791752577323</v>
      </c>
      <c r="I25" s="31"/>
      <c r="J25" s="35">
        <v>1134</v>
      </c>
      <c r="K25" s="75">
        <v>478702.19</v>
      </c>
      <c r="L25" s="10">
        <f t="shared" si="2"/>
        <v>422.13597001763668</v>
      </c>
      <c r="M25" s="11">
        <f t="shared" si="3"/>
        <v>0.14809977798093249</v>
      </c>
      <c r="N25" s="12">
        <f t="shared" si="8"/>
        <v>48</v>
      </c>
      <c r="O25" s="36">
        <f t="shared" si="10"/>
        <v>385.34749999999985</v>
      </c>
      <c r="P25" s="38"/>
      <c r="Q25" s="34">
        <v>234</v>
      </c>
      <c r="R25" s="64">
        <v>59720.46</v>
      </c>
      <c r="S25" s="60">
        <f t="shared" si="4"/>
        <v>255.21564102564102</v>
      </c>
      <c r="T25" s="11">
        <f t="shared" si="5"/>
        <v>3.0560271646859084E-2</v>
      </c>
      <c r="U25" s="14">
        <v>0</v>
      </c>
      <c r="V25" s="36">
        <v>0</v>
      </c>
      <c r="W25" s="42"/>
    </row>
    <row r="26" spans="2:23" ht="12" customHeight="1" x14ac:dyDescent="0.25">
      <c r="B26" s="15">
        <f t="shared" si="9"/>
        <v>14</v>
      </c>
      <c r="C26" s="16">
        <f>1548+2611</f>
        <v>4159</v>
      </c>
      <c r="D26" s="82">
        <f>1304106.4+669166.65</f>
        <v>1973273.0499999998</v>
      </c>
      <c r="E26" s="10">
        <f t="shared" si="0"/>
        <v>474.45853570569847</v>
      </c>
      <c r="F26" s="11">
        <f t="shared" si="1"/>
        <v>0.56126855600539816</v>
      </c>
      <c r="G26" s="12">
        <f t="shared" si="6"/>
        <v>86</v>
      </c>
      <c r="H26" s="29">
        <f t="shared" si="7"/>
        <v>659.11476744185904</v>
      </c>
      <c r="I26" s="31"/>
      <c r="J26" s="35">
        <v>1153</v>
      </c>
      <c r="K26" s="75">
        <v>486775.49</v>
      </c>
      <c r="L26" s="10">
        <f t="shared" si="2"/>
        <v>422.18169124024286</v>
      </c>
      <c r="M26" s="11">
        <f t="shared" si="3"/>
        <v>0.15058116755909626</v>
      </c>
      <c r="N26" s="12">
        <f t="shared" si="8"/>
        <v>19</v>
      </c>
      <c r="O26" s="36">
        <f t="shared" si="10"/>
        <v>424.91052631578884</v>
      </c>
      <c r="P26" s="38"/>
      <c r="Q26" s="34">
        <v>236</v>
      </c>
      <c r="R26" s="64">
        <v>60033.8</v>
      </c>
      <c r="S26" s="60">
        <f t="shared" si="4"/>
        <v>254.38050847457629</v>
      </c>
      <c r="T26" s="11">
        <f t="shared" si="5"/>
        <v>3.082147054982369E-2</v>
      </c>
      <c r="U26" s="14">
        <f>Q26-Q25</f>
        <v>2</v>
      </c>
      <c r="V26" s="36">
        <f t="shared" si="11"/>
        <v>156.67000000000189</v>
      </c>
      <c r="W26" s="42"/>
    </row>
    <row r="27" spans="2:23" ht="12" customHeight="1" x14ac:dyDescent="0.25">
      <c r="B27" s="15">
        <f t="shared" si="9"/>
        <v>15</v>
      </c>
      <c r="C27" s="16">
        <f>2795+1482</f>
        <v>4277</v>
      </c>
      <c r="D27" s="82">
        <f>1405413.64+609466.34</f>
        <v>2014879.98</v>
      </c>
      <c r="E27" s="10">
        <f t="shared" si="0"/>
        <v>471.09655833528171</v>
      </c>
      <c r="F27" s="11">
        <f t="shared" si="1"/>
        <v>0.57719298245614037</v>
      </c>
      <c r="G27" s="12">
        <f t="shared" si="6"/>
        <v>118</v>
      </c>
      <c r="H27" s="29">
        <f t="shared" si="7"/>
        <v>352.60110169491668</v>
      </c>
      <c r="I27" s="31"/>
      <c r="J27" s="35">
        <v>1279</v>
      </c>
      <c r="K27" s="75">
        <v>526942.82999999996</v>
      </c>
      <c r="L27" s="10">
        <f t="shared" si="2"/>
        <v>411.99595777951521</v>
      </c>
      <c r="M27" s="11">
        <f t="shared" si="3"/>
        <v>0.16703669844586652</v>
      </c>
      <c r="N27" s="12">
        <f t="shared" si="8"/>
        <v>126</v>
      </c>
      <c r="O27" s="36">
        <f t="shared" si="10"/>
        <v>318.78841269841246</v>
      </c>
      <c r="P27" s="38"/>
      <c r="Q27" s="34">
        <v>246</v>
      </c>
      <c r="R27" s="64">
        <v>65033.8</v>
      </c>
      <c r="S27" s="60">
        <f t="shared" si="4"/>
        <v>264.36504065040651</v>
      </c>
      <c r="T27" s="11">
        <f t="shared" si="5"/>
        <v>3.2127465064646726E-2</v>
      </c>
      <c r="U27" s="14">
        <f>Q27-Q26</f>
        <v>10</v>
      </c>
      <c r="V27" s="36">
        <f t="shared" si="11"/>
        <v>500</v>
      </c>
      <c r="W27" s="42"/>
    </row>
    <row r="28" spans="2:23" ht="12" customHeight="1" x14ac:dyDescent="0.25">
      <c r="B28" s="15">
        <f t="shared" si="9"/>
        <v>16</v>
      </c>
      <c r="C28" s="16">
        <f>1591+2982</f>
        <v>4573</v>
      </c>
      <c r="D28" s="82">
        <f>641785.43+1511760.25</f>
        <v>2153545.6800000002</v>
      </c>
      <c r="E28" s="10">
        <f t="shared" si="0"/>
        <v>470.92623660616664</v>
      </c>
      <c r="F28" s="11">
        <f t="shared" si="1"/>
        <v>0.6171390013495277</v>
      </c>
      <c r="G28" s="12">
        <f t="shared" si="6"/>
        <v>296</v>
      </c>
      <c r="H28" s="29">
        <f t="shared" si="7"/>
        <v>468.46520270270332</v>
      </c>
      <c r="I28" s="31"/>
      <c r="J28" s="35">
        <v>1362</v>
      </c>
      <c r="K28" s="75">
        <v>566080.14</v>
      </c>
      <c r="L28" s="10">
        <f t="shared" si="2"/>
        <v>415.62418502202644</v>
      </c>
      <c r="M28" s="11">
        <f t="shared" si="3"/>
        <v>0.17787645291889775</v>
      </c>
      <c r="N28" s="12">
        <f t="shared" si="8"/>
        <v>83</v>
      </c>
      <c r="O28" s="36">
        <f t="shared" si="10"/>
        <v>471.53385542168741</v>
      </c>
      <c r="P28" s="38"/>
      <c r="Q28" s="34">
        <v>246</v>
      </c>
      <c r="R28" s="64">
        <v>65033.8</v>
      </c>
      <c r="S28" s="60">
        <f t="shared" si="4"/>
        <v>264.36504065040651</v>
      </c>
      <c r="T28" s="11">
        <f t="shared" si="5"/>
        <v>3.2127465064646726E-2</v>
      </c>
      <c r="U28" s="14">
        <v>0</v>
      </c>
      <c r="V28" s="36">
        <v>0</v>
      </c>
      <c r="W28" s="42"/>
    </row>
    <row r="29" spans="2:23" ht="12" customHeight="1" x14ac:dyDescent="0.25">
      <c r="B29" s="15">
        <f t="shared" si="9"/>
        <v>17</v>
      </c>
      <c r="C29" s="16">
        <f>1499+3131</f>
        <v>4630</v>
      </c>
      <c r="D29" s="83">
        <f>616898.71+1582376.89</f>
        <v>2199275.5999999996</v>
      </c>
      <c r="E29" s="10">
        <f t="shared" si="0"/>
        <v>475.0055291576673</v>
      </c>
      <c r="F29" s="11">
        <f t="shared" si="1"/>
        <v>0.62483130904183537</v>
      </c>
      <c r="G29" s="12">
        <f t="shared" si="6"/>
        <v>57</v>
      </c>
      <c r="H29" s="29">
        <f t="shared" si="7"/>
        <v>802.27929824560454</v>
      </c>
      <c r="I29" s="31"/>
      <c r="J29" s="35">
        <v>1349</v>
      </c>
      <c r="K29" s="75">
        <v>563220.14</v>
      </c>
      <c r="L29" s="10">
        <f t="shared" si="2"/>
        <v>417.50936990363232</v>
      </c>
      <c r="M29" s="11">
        <f t="shared" si="3"/>
        <v>0.17617866004962779</v>
      </c>
      <c r="N29" s="12">
        <f t="shared" si="8"/>
        <v>-13</v>
      </c>
      <c r="O29" s="36">
        <f t="shared" si="10"/>
        <v>220</v>
      </c>
      <c r="P29" s="38"/>
      <c r="Q29" s="34">
        <v>246</v>
      </c>
      <c r="R29" s="64">
        <v>65033.8</v>
      </c>
      <c r="S29" s="60">
        <f t="shared" si="4"/>
        <v>264.36504065040651</v>
      </c>
      <c r="T29" s="11">
        <f t="shared" si="5"/>
        <v>3.2127465064646726E-2</v>
      </c>
      <c r="U29" s="14">
        <v>0</v>
      </c>
      <c r="V29" s="36">
        <v>0</v>
      </c>
      <c r="W29" s="42"/>
    </row>
    <row r="30" spans="2:23" ht="12" customHeight="1" x14ac:dyDescent="0.25">
      <c r="B30" s="15">
        <f t="shared" si="9"/>
        <v>18</v>
      </c>
      <c r="C30" s="16">
        <f>3249+1422</f>
        <v>4671</v>
      </c>
      <c r="D30" s="84">
        <f>1647127.11+574592.52</f>
        <v>2221719.63</v>
      </c>
      <c r="E30" s="10">
        <f t="shared" si="0"/>
        <v>475.64111111111112</v>
      </c>
      <c r="F30" s="11">
        <f t="shared" si="1"/>
        <v>0.63036437246963561</v>
      </c>
      <c r="G30" s="12">
        <f t="shared" si="6"/>
        <v>41</v>
      </c>
      <c r="H30" s="29">
        <f t="shared" si="7"/>
        <v>547.41536585366487</v>
      </c>
      <c r="I30" s="31"/>
      <c r="J30" s="35">
        <v>1375</v>
      </c>
      <c r="K30" s="75">
        <v>574595.14</v>
      </c>
      <c r="L30" s="10">
        <f t="shared" si="2"/>
        <v>417.88737454545458</v>
      </c>
      <c r="M30" s="11">
        <f t="shared" si="3"/>
        <v>0.17957424578816769</v>
      </c>
      <c r="N30" s="12">
        <f t="shared" si="8"/>
        <v>26</v>
      </c>
      <c r="O30" s="36">
        <f t="shared" si="10"/>
        <v>437.5</v>
      </c>
      <c r="P30" s="38"/>
      <c r="Q30" s="34">
        <v>247</v>
      </c>
      <c r="R30" s="64">
        <v>65308.800000000003</v>
      </c>
      <c r="S30" s="60">
        <f t="shared" si="4"/>
        <v>264.40809716599193</v>
      </c>
      <c r="T30" s="11">
        <f t="shared" si="5"/>
        <v>3.2258064516129031E-2</v>
      </c>
      <c r="U30" s="14">
        <f t="shared" ref="U30:U42" si="12">Q30-Q29</f>
        <v>1</v>
      </c>
      <c r="V30" s="36">
        <f t="shared" si="11"/>
        <v>275</v>
      </c>
      <c r="W30" s="42"/>
    </row>
    <row r="31" spans="2:23" ht="12" customHeight="1" x14ac:dyDescent="0.25">
      <c r="B31" s="15">
        <f t="shared" si="9"/>
        <v>19</v>
      </c>
      <c r="C31" s="16">
        <f>1401+3381</f>
        <v>4782</v>
      </c>
      <c r="D31" s="84">
        <f>1711901.4+569565.87</f>
        <v>2281467.27</v>
      </c>
      <c r="E31" s="10">
        <f t="shared" si="0"/>
        <v>477.0947867001255</v>
      </c>
      <c r="F31" s="11">
        <f t="shared" si="1"/>
        <v>0.64534412955465592</v>
      </c>
      <c r="G31" s="12">
        <f t="shared" si="6"/>
        <v>111</v>
      </c>
      <c r="H31" s="29">
        <f t="shared" si="7"/>
        <v>538.26702702702823</v>
      </c>
      <c r="I31" s="31"/>
      <c r="J31" s="35">
        <v>1465</v>
      </c>
      <c r="K31" s="75">
        <v>613132.11</v>
      </c>
      <c r="L31" s="10">
        <f t="shared" si="2"/>
        <v>418.52021160409555</v>
      </c>
      <c r="M31" s="11">
        <f t="shared" si="3"/>
        <v>0.19132819642157503</v>
      </c>
      <c r="N31" s="12">
        <f t="shared" si="8"/>
        <v>90</v>
      </c>
      <c r="O31" s="36">
        <f t="shared" si="10"/>
        <v>428.18855555555524</v>
      </c>
      <c r="P31" s="38"/>
      <c r="Q31" s="34">
        <v>249</v>
      </c>
      <c r="R31" s="64">
        <v>65492.12</v>
      </c>
      <c r="S31" s="60">
        <f t="shared" si="4"/>
        <v>263.02056224899599</v>
      </c>
      <c r="T31" s="11">
        <f t="shared" si="5"/>
        <v>3.2519263419093641E-2</v>
      </c>
      <c r="U31" s="14">
        <f t="shared" si="12"/>
        <v>2</v>
      </c>
      <c r="V31" s="36">
        <f t="shared" si="11"/>
        <v>91.659999999999854</v>
      </c>
      <c r="W31" s="42"/>
    </row>
    <row r="32" spans="2:23" ht="12" customHeight="1" x14ac:dyDescent="0.25">
      <c r="B32" s="15">
        <f t="shared" si="9"/>
        <v>20</v>
      </c>
      <c r="C32" s="16">
        <f>1343+3537</f>
        <v>4880</v>
      </c>
      <c r="D32" s="84">
        <f>1786284.2+539317.34</f>
        <v>2325601.54</v>
      </c>
      <c r="E32" s="10">
        <f t="shared" si="0"/>
        <v>476.55769262295081</v>
      </c>
      <c r="F32" s="11">
        <f t="shared" si="1"/>
        <v>0.65856950067476383</v>
      </c>
      <c r="G32" s="12">
        <f t="shared" si="6"/>
        <v>98</v>
      </c>
      <c r="H32" s="29">
        <f t="shared" si="7"/>
        <v>450.3496938775512</v>
      </c>
      <c r="I32" s="31"/>
      <c r="J32" s="35">
        <v>1499</v>
      </c>
      <c r="K32" s="75">
        <v>614855.87</v>
      </c>
      <c r="L32" s="10">
        <f t="shared" si="2"/>
        <v>410.17736490993997</v>
      </c>
      <c r="M32" s="11">
        <f t="shared" si="3"/>
        <v>0.19576857777197335</v>
      </c>
      <c r="N32" s="12">
        <f t="shared" si="8"/>
        <v>34</v>
      </c>
      <c r="O32" s="36">
        <f t="shared" si="10"/>
        <v>50.698823529412039</v>
      </c>
      <c r="P32" s="38"/>
      <c r="Q32" s="34">
        <v>252</v>
      </c>
      <c r="R32" s="64">
        <v>64530.46</v>
      </c>
      <c r="S32" s="60">
        <f t="shared" si="4"/>
        <v>256.07325396825394</v>
      </c>
      <c r="T32" s="11">
        <f t="shared" si="5"/>
        <v>3.2911061773540549E-2</v>
      </c>
      <c r="U32" s="14">
        <f t="shared" si="12"/>
        <v>3</v>
      </c>
      <c r="V32" s="36">
        <f t="shared" si="11"/>
        <v>-320.55333333333448</v>
      </c>
      <c r="W32" s="42"/>
    </row>
    <row r="33" spans="2:23" ht="12" customHeight="1" x14ac:dyDescent="0.25">
      <c r="B33" s="15">
        <f t="shared" si="9"/>
        <v>21</v>
      </c>
      <c r="C33" s="16">
        <f>3696+1272</f>
        <v>4968</v>
      </c>
      <c r="D33" s="82">
        <f>1866476.24+502671.2</f>
        <v>2369147.44</v>
      </c>
      <c r="E33" s="10">
        <f t="shared" si="0"/>
        <v>476.88152979066024</v>
      </c>
      <c r="F33" s="11">
        <f t="shared" si="1"/>
        <v>0.6704453441295547</v>
      </c>
      <c r="G33" s="12">
        <f t="shared" si="6"/>
        <v>88</v>
      </c>
      <c r="H33" s="29">
        <f t="shared" si="7"/>
        <v>494.83977272727168</v>
      </c>
      <c r="I33" s="31"/>
      <c r="J33" s="35">
        <v>1570</v>
      </c>
      <c r="K33" s="75">
        <v>641795.48</v>
      </c>
      <c r="L33" s="10">
        <f t="shared" si="2"/>
        <v>408.78692993630574</v>
      </c>
      <c r="M33" s="11">
        <f t="shared" si="3"/>
        <v>0.20504113882721692</v>
      </c>
      <c r="N33" s="12">
        <f t="shared" si="8"/>
        <v>71</v>
      </c>
      <c r="O33" s="36">
        <f t="shared" si="10"/>
        <v>379.43112676056319</v>
      </c>
      <c r="P33" s="38"/>
      <c r="Q33" s="34">
        <v>254</v>
      </c>
      <c r="R33" s="64">
        <v>65080.46</v>
      </c>
      <c r="S33" s="60">
        <f t="shared" si="4"/>
        <v>256.22228346456694</v>
      </c>
      <c r="T33" s="11">
        <f t="shared" si="5"/>
        <v>3.3172260676505159E-2</v>
      </c>
      <c r="U33" s="14">
        <f t="shared" si="12"/>
        <v>2</v>
      </c>
      <c r="V33" s="36">
        <f t="shared" si="11"/>
        <v>275</v>
      </c>
      <c r="W33" s="42"/>
    </row>
    <row r="34" spans="2:23" ht="12" customHeight="1" x14ac:dyDescent="0.25">
      <c r="B34" s="15">
        <f t="shared" si="9"/>
        <v>22</v>
      </c>
      <c r="C34" s="16">
        <f>1241+3867</f>
        <v>5108</v>
      </c>
      <c r="D34" s="82">
        <f>485528.84+1953343.02</f>
        <v>2438871.86</v>
      </c>
      <c r="E34" s="10">
        <f t="shared" si="0"/>
        <v>477.46120986687544</v>
      </c>
      <c r="F34" s="11">
        <f t="shared" si="1"/>
        <v>0.6893387314439946</v>
      </c>
      <c r="G34" s="12">
        <f t="shared" si="6"/>
        <v>140</v>
      </c>
      <c r="H34" s="29">
        <f t="shared" si="7"/>
        <v>498.03157142857089</v>
      </c>
      <c r="I34" s="31"/>
      <c r="J34" s="35">
        <v>1972</v>
      </c>
      <c r="K34" s="75">
        <v>762128.81</v>
      </c>
      <c r="L34" s="10">
        <f t="shared" si="2"/>
        <v>386.47505578093308</v>
      </c>
      <c r="M34" s="11">
        <f t="shared" si="3"/>
        <v>0.25754211832310303</v>
      </c>
      <c r="N34" s="12">
        <f t="shared" si="8"/>
        <v>402</v>
      </c>
      <c r="O34" s="36">
        <f t="shared" si="10"/>
        <v>299.33664179104494</v>
      </c>
      <c r="P34" s="38"/>
      <c r="Q34" s="34">
        <v>257</v>
      </c>
      <c r="R34" s="64">
        <v>65530.46</v>
      </c>
      <c r="S34" s="60">
        <f t="shared" si="4"/>
        <v>254.98233463035018</v>
      </c>
      <c r="T34" s="11">
        <f t="shared" si="5"/>
        <v>3.3564059030952068E-2</v>
      </c>
      <c r="U34" s="14">
        <f t="shared" si="12"/>
        <v>3</v>
      </c>
      <c r="V34" s="36">
        <f t="shared" si="11"/>
        <v>150</v>
      </c>
      <c r="W34" s="42"/>
    </row>
    <row r="35" spans="2:23" ht="12" customHeight="1" x14ac:dyDescent="0.25">
      <c r="B35" s="15">
        <f t="shared" si="9"/>
        <v>23</v>
      </c>
      <c r="C35" s="16">
        <f>4067+1117</f>
        <v>5184</v>
      </c>
      <c r="D35" s="82">
        <f>2053636.74+446089.33</f>
        <v>2499726.0699999998</v>
      </c>
      <c r="E35" s="10">
        <f t="shared" si="0"/>
        <v>482.20024498456786</v>
      </c>
      <c r="F35" s="11">
        <f t="shared" si="1"/>
        <v>0.69959514170040482</v>
      </c>
      <c r="G35" s="12">
        <f t="shared" si="6"/>
        <v>76</v>
      </c>
      <c r="H35" s="29">
        <f t="shared" si="7"/>
        <v>800.71328947368374</v>
      </c>
      <c r="I35" s="31"/>
      <c r="J35" s="35">
        <v>2142</v>
      </c>
      <c r="K35" s="75">
        <v>834666.31</v>
      </c>
      <c r="L35" s="10">
        <f t="shared" si="2"/>
        <v>389.66681139122318</v>
      </c>
      <c r="M35" s="11">
        <f t="shared" si="3"/>
        <v>0.27974402507509466</v>
      </c>
      <c r="N35" s="12">
        <f t="shared" si="8"/>
        <v>170</v>
      </c>
      <c r="O35" s="36">
        <f t="shared" si="10"/>
        <v>426.69117647058823</v>
      </c>
      <c r="P35" s="38"/>
      <c r="Q35" s="34">
        <v>260</v>
      </c>
      <c r="R35" s="64">
        <v>65805.440000000002</v>
      </c>
      <c r="S35" s="60">
        <f t="shared" si="4"/>
        <v>253.09784615384615</v>
      </c>
      <c r="T35" s="11">
        <f t="shared" si="5"/>
        <v>3.3955857385398983E-2</v>
      </c>
      <c r="U35" s="14">
        <f t="shared" si="12"/>
        <v>3</v>
      </c>
      <c r="V35" s="36">
        <f t="shared" si="11"/>
        <v>91.660000000001062</v>
      </c>
      <c r="W35" s="42"/>
    </row>
    <row r="36" spans="2:23" ht="12" customHeight="1" x14ac:dyDescent="0.25">
      <c r="B36" s="15">
        <f t="shared" si="9"/>
        <v>24</v>
      </c>
      <c r="C36" s="16">
        <f>4247+981</f>
        <v>5228</v>
      </c>
      <c r="D36" s="82">
        <f>392786.45+2136574.46</f>
        <v>2529360.91</v>
      </c>
      <c r="E36" s="10">
        <f t="shared" si="0"/>
        <v>483.8104265493497</v>
      </c>
      <c r="F36" s="11">
        <f t="shared" si="1"/>
        <v>0.70553306342780031</v>
      </c>
      <c r="G36" s="12">
        <f t="shared" si="6"/>
        <v>44</v>
      </c>
      <c r="H36" s="29">
        <f t="shared" si="7"/>
        <v>673.51909090909805</v>
      </c>
      <c r="I36" s="31"/>
      <c r="J36" s="35">
        <v>2250</v>
      </c>
      <c r="K36" s="75">
        <v>888825.29</v>
      </c>
      <c r="L36" s="10">
        <f t="shared" si="2"/>
        <v>395.03346222222223</v>
      </c>
      <c r="M36" s="11">
        <f t="shared" si="3"/>
        <v>0.29384876583518349</v>
      </c>
      <c r="N36" s="12">
        <f t="shared" si="8"/>
        <v>108</v>
      </c>
      <c r="O36" s="36">
        <f t="shared" si="10"/>
        <v>501.47203703703684</v>
      </c>
      <c r="P36" s="38"/>
      <c r="Q36" s="34">
        <v>260</v>
      </c>
      <c r="R36" s="64">
        <v>65805.440000000002</v>
      </c>
      <c r="S36" s="60">
        <f t="shared" si="4"/>
        <v>253.09784615384615</v>
      </c>
      <c r="T36" s="11">
        <f t="shared" si="5"/>
        <v>3.3955857385398983E-2</v>
      </c>
      <c r="U36" s="14">
        <f t="shared" si="12"/>
        <v>0</v>
      </c>
      <c r="V36" s="36">
        <v>0</v>
      </c>
      <c r="W36" s="42"/>
    </row>
    <row r="37" spans="2:23" ht="12" customHeight="1" x14ac:dyDescent="0.25">
      <c r="B37" s="15">
        <f t="shared" si="9"/>
        <v>25</v>
      </c>
      <c r="C37" s="16">
        <f>4375+881</f>
        <v>5256</v>
      </c>
      <c r="D37" s="82">
        <f>2193874.42+369581.2</f>
        <v>2563455.62</v>
      </c>
      <c r="E37" s="10">
        <f t="shared" si="0"/>
        <v>487.7198668188737</v>
      </c>
      <c r="F37" s="11">
        <f t="shared" si="1"/>
        <v>0.70931174089068827</v>
      </c>
      <c r="G37" s="12">
        <f t="shared" si="6"/>
        <v>28</v>
      </c>
      <c r="H37" s="29">
        <f t="shared" si="7"/>
        <v>1217.668214285713</v>
      </c>
      <c r="I37" s="31"/>
      <c r="J37" s="35">
        <v>2267</v>
      </c>
      <c r="K37" s="75">
        <v>889293.06</v>
      </c>
      <c r="L37" s="10">
        <f t="shared" si="2"/>
        <v>392.27748566387299</v>
      </c>
      <c r="M37" s="11">
        <f t="shared" si="3"/>
        <v>0.29606895651038267</v>
      </c>
      <c r="N37" s="12">
        <f t="shared" si="8"/>
        <v>17</v>
      </c>
      <c r="O37" s="36">
        <f t="shared" si="10"/>
        <v>27.51588235294227</v>
      </c>
      <c r="P37" s="38"/>
      <c r="Q37" s="34">
        <v>261</v>
      </c>
      <c r="R37" s="64">
        <v>66357.94</v>
      </c>
      <c r="S37" s="60">
        <f t="shared" si="4"/>
        <v>254.2449808429119</v>
      </c>
      <c r="T37" s="11">
        <f t="shared" si="5"/>
        <v>3.4086456836881288E-2</v>
      </c>
      <c r="U37" s="14">
        <f t="shared" si="12"/>
        <v>1</v>
      </c>
      <c r="V37" s="36">
        <f t="shared" si="11"/>
        <v>552.5</v>
      </c>
      <c r="W37" s="42"/>
    </row>
    <row r="38" spans="2:23" ht="12" customHeight="1" x14ac:dyDescent="0.25">
      <c r="B38" s="15">
        <f t="shared" si="9"/>
        <v>26</v>
      </c>
      <c r="C38" s="16">
        <f>733+4515</f>
        <v>5248</v>
      </c>
      <c r="D38" s="82">
        <f>2259435.39+320963.11</f>
        <v>2580398.5</v>
      </c>
      <c r="E38" s="10">
        <f t="shared" si="0"/>
        <v>491.69178734756099</v>
      </c>
      <c r="F38" s="11">
        <f t="shared" si="1"/>
        <v>0.7082321187584345</v>
      </c>
      <c r="G38" s="12">
        <f t="shared" si="6"/>
        <v>-8</v>
      </c>
      <c r="H38" s="36">
        <f t="shared" si="7"/>
        <v>-2117.859999999986</v>
      </c>
      <c r="I38" s="31"/>
      <c r="J38" s="35">
        <v>2350</v>
      </c>
      <c r="K38" s="75">
        <v>934985.08</v>
      </c>
      <c r="L38" s="10">
        <f t="shared" si="2"/>
        <v>397.8659914893617</v>
      </c>
      <c r="M38" s="11">
        <f t="shared" si="3"/>
        <v>0.30690871098341388</v>
      </c>
      <c r="N38" s="12">
        <f t="shared" si="8"/>
        <v>83</v>
      </c>
      <c r="O38" s="36">
        <f t="shared" si="10"/>
        <v>550.5062650602398</v>
      </c>
      <c r="P38" s="38"/>
      <c r="Q38" s="34">
        <v>267</v>
      </c>
      <c r="R38" s="64">
        <v>67357.94</v>
      </c>
      <c r="S38" s="60">
        <f t="shared" si="4"/>
        <v>252.27692883895131</v>
      </c>
      <c r="T38" s="11">
        <f t="shared" si="5"/>
        <v>3.4870053545775111E-2</v>
      </c>
      <c r="U38" s="14">
        <f t="shared" si="12"/>
        <v>6</v>
      </c>
      <c r="V38" s="36">
        <f t="shared" si="11"/>
        <v>166.66666666666666</v>
      </c>
      <c r="W38" s="42"/>
    </row>
    <row r="39" spans="2:23" ht="12" customHeight="1" x14ac:dyDescent="0.25">
      <c r="B39" s="15">
        <f t="shared" si="9"/>
        <v>27</v>
      </c>
      <c r="C39" s="16">
        <f>564+4685</f>
        <v>5249</v>
      </c>
      <c r="D39" s="82">
        <f>262899.76+2341112.01</f>
        <v>2604011.7699999996</v>
      </c>
      <c r="E39" s="10">
        <f t="shared" si="0"/>
        <v>496.09673652124206</v>
      </c>
      <c r="F39" s="11">
        <f t="shared" si="1"/>
        <v>0.70836707152496625</v>
      </c>
      <c r="G39" s="12">
        <f t="shared" si="6"/>
        <v>1</v>
      </c>
      <c r="H39" s="36">
        <f t="shared" si="7"/>
        <v>23613.269999999553</v>
      </c>
      <c r="I39" s="31"/>
      <c r="J39" s="35">
        <v>2510</v>
      </c>
      <c r="K39" s="75">
        <v>1004032.54</v>
      </c>
      <c r="L39" s="10">
        <f t="shared" si="2"/>
        <v>400.0129641434263</v>
      </c>
      <c r="M39" s="11">
        <f t="shared" si="3"/>
        <v>0.32780462322058246</v>
      </c>
      <c r="N39" s="12">
        <f t="shared" si="8"/>
        <v>160</v>
      </c>
      <c r="O39" s="36">
        <f>(K39-K38)/N39</f>
        <v>431.54662500000052</v>
      </c>
      <c r="P39" s="38"/>
      <c r="Q39" s="34">
        <v>272</v>
      </c>
      <c r="R39" s="64">
        <v>69041.279999999999</v>
      </c>
      <c r="S39" s="60">
        <f t="shared" si="4"/>
        <v>253.82823529411763</v>
      </c>
      <c r="T39" s="11">
        <f t="shared" si="5"/>
        <v>3.5523050803186629E-2</v>
      </c>
      <c r="U39" s="14">
        <f t="shared" si="12"/>
        <v>5</v>
      </c>
      <c r="V39" s="36">
        <f t="shared" si="11"/>
        <v>336.66799999999932</v>
      </c>
      <c r="W39" s="42"/>
    </row>
    <row r="40" spans="2:23" ht="12" customHeight="1" x14ac:dyDescent="0.25">
      <c r="B40" s="15">
        <f t="shared" si="9"/>
        <v>28</v>
      </c>
      <c r="C40" s="16">
        <f>411+4857</f>
        <v>5268</v>
      </c>
      <c r="D40" s="82">
        <f>2428962.04+197034.12</f>
        <v>2625996.16</v>
      </c>
      <c r="E40" s="10">
        <f t="shared" si="0"/>
        <v>498.48066818526956</v>
      </c>
      <c r="F40" s="11">
        <f t="shared" si="1"/>
        <v>0.71093117408906881</v>
      </c>
      <c r="G40" s="12">
        <f>(C40-C39)</f>
        <v>19</v>
      </c>
      <c r="H40" s="36">
        <f>(D40-D39)/G40</f>
        <v>1157.0731578947682</v>
      </c>
      <c r="I40" s="31"/>
      <c r="J40" s="35">
        <v>2653</v>
      </c>
      <c r="K40" s="75">
        <v>1054533.29</v>
      </c>
      <c r="L40" s="10">
        <f t="shared" si="2"/>
        <v>397.48710516396534</v>
      </c>
      <c r="M40" s="11">
        <f t="shared" si="3"/>
        <v>0.34648034478255191</v>
      </c>
      <c r="N40" s="12">
        <f t="shared" si="8"/>
        <v>143</v>
      </c>
      <c r="O40" s="36">
        <f t="shared" si="10"/>
        <v>353.15209790209792</v>
      </c>
      <c r="P40" s="38"/>
      <c r="Q40" s="34">
        <v>282</v>
      </c>
      <c r="R40" s="64">
        <v>75266.28</v>
      </c>
      <c r="S40" s="60">
        <f t="shared" si="4"/>
        <v>266.90170212765958</v>
      </c>
      <c r="T40" s="11">
        <f t="shared" si="5"/>
        <v>3.6829045318009665E-2</v>
      </c>
      <c r="U40" s="14">
        <f t="shared" si="12"/>
        <v>10</v>
      </c>
      <c r="V40" s="36">
        <f t="shared" si="11"/>
        <v>622.5</v>
      </c>
      <c r="W40" s="42"/>
    </row>
    <row r="41" spans="2:23" ht="12" customHeight="1" x14ac:dyDescent="0.25">
      <c r="B41" s="15">
        <f t="shared" si="9"/>
        <v>29</v>
      </c>
      <c r="C41" s="16">
        <f>5065+230</f>
        <v>5295</v>
      </c>
      <c r="D41" s="82">
        <f>2545624.71+116284.31</f>
        <v>2661909.02</v>
      </c>
      <c r="E41" s="10">
        <f t="shared" si="0"/>
        <v>502.7212502360718</v>
      </c>
      <c r="F41" s="11">
        <f t="shared" si="1"/>
        <v>0.71457489878542513</v>
      </c>
      <c r="G41" s="12">
        <f>(C41-C40)</f>
        <v>27</v>
      </c>
      <c r="H41" s="29">
        <f>(D41-D40)/G41</f>
        <v>1330.1059259259212</v>
      </c>
      <c r="I41" s="31">
        <v>0</v>
      </c>
      <c r="J41" s="35">
        <v>2817</v>
      </c>
      <c r="K41" s="75">
        <v>1124161.53</v>
      </c>
      <c r="L41" s="10">
        <f t="shared" si="2"/>
        <v>399.06337593184242</v>
      </c>
      <c r="M41" s="11">
        <f t="shared" si="3"/>
        <v>0.36789865482564971</v>
      </c>
      <c r="N41" s="12">
        <f t="shared" si="8"/>
        <v>164</v>
      </c>
      <c r="O41" s="36">
        <f t="shared" si="10"/>
        <v>424.56243902439019</v>
      </c>
      <c r="P41" s="38"/>
      <c r="Q41" s="34">
        <v>285</v>
      </c>
      <c r="R41" s="64">
        <v>76091.28</v>
      </c>
      <c r="S41" s="60">
        <f t="shared" si="4"/>
        <v>266.98694736842106</v>
      </c>
      <c r="T41" s="11">
        <f t="shared" si="5"/>
        <v>3.7220843672456573E-2</v>
      </c>
      <c r="U41" s="14">
        <f t="shared" si="12"/>
        <v>3</v>
      </c>
      <c r="V41" s="36">
        <f>(R41-R40)/U41</f>
        <v>275</v>
      </c>
      <c r="W41" s="42"/>
    </row>
    <row r="42" spans="2:23" ht="12" customHeight="1" x14ac:dyDescent="0.25">
      <c r="B42" s="15">
        <v>30</v>
      </c>
      <c r="C42" s="16">
        <v>5299</v>
      </c>
      <c r="D42" s="82">
        <v>2696711.68</v>
      </c>
      <c r="E42" s="10">
        <f t="shared" si="0"/>
        <v>508.90954519720702</v>
      </c>
      <c r="F42" s="11">
        <f t="shared" si="1"/>
        <v>0.71511470985155201</v>
      </c>
      <c r="G42" s="12">
        <f>(C42-C41)</f>
        <v>4</v>
      </c>
      <c r="H42" s="29">
        <f t="shared" si="7"/>
        <v>8700.6650000000373</v>
      </c>
      <c r="I42" s="31"/>
      <c r="J42" s="35">
        <v>2954</v>
      </c>
      <c r="K42" s="75">
        <v>1197770.22</v>
      </c>
      <c r="L42" s="10">
        <f t="shared" si="2"/>
        <v>405.47400812457681</v>
      </c>
      <c r="M42" s="11">
        <f t="shared" si="3"/>
        <v>0.38579077967872533</v>
      </c>
      <c r="N42" s="12">
        <f t="shared" si="8"/>
        <v>137</v>
      </c>
      <c r="O42" s="36">
        <f t="shared" si="10"/>
        <v>537.28970802919662</v>
      </c>
      <c r="P42" s="38"/>
      <c r="Q42" s="34">
        <v>292</v>
      </c>
      <c r="R42" s="64">
        <v>80342.28</v>
      </c>
      <c r="S42" s="60">
        <f t="shared" si="4"/>
        <v>275.14479452054792</v>
      </c>
      <c r="T42" s="11">
        <f t="shared" si="5"/>
        <v>3.8135039832832701E-2</v>
      </c>
      <c r="U42" s="14">
        <f t="shared" si="12"/>
        <v>7</v>
      </c>
      <c r="V42" s="36">
        <f>(R42-R41)/U42</f>
        <v>607.28571428571433</v>
      </c>
      <c r="W42" s="42"/>
    </row>
    <row r="43" spans="2:23" ht="11.25" customHeight="1" thickBot="1" x14ac:dyDescent="0.3">
      <c r="B43" s="17">
        <v>31</v>
      </c>
      <c r="C43" s="18"/>
      <c r="D43" s="88"/>
      <c r="E43" s="19" t="e">
        <f t="shared" si="0"/>
        <v>#DIV/0!</v>
      </c>
      <c r="F43" s="20">
        <f t="shared" si="1"/>
        <v>0</v>
      </c>
      <c r="G43" s="12">
        <v>0</v>
      </c>
      <c r="H43" s="90" t="e">
        <f t="shared" si="7"/>
        <v>#DIV/0!</v>
      </c>
      <c r="I43" s="32"/>
      <c r="J43" s="37"/>
      <c r="K43" s="80"/>
      <c r="L43" s="19" t="e">
        <f t="shared" si="2"/>
        <v>#DIV/0!</v>
      </c>
      <c r="M43" s="20">
        <f t="shared" si="3"/>
        <v>0</v>
      </c>
      <c r="N43" s="12">
        <v>0</v>
      </c>
      <c r="O43" s="91" t="e">
        <f t="shared" si="10"/>
        <v>#DIV/0!</v>
      </c>
      <c r="P43" s="39"/>
      <c r="Q43" s="37"/>
      <c r="R43" s="88"/>
      <c r="S43" s="92" t="e">
        <f t="shared" si="4"/>
        <v>#DIV/0!</v>
      </c>
      <c r="T43" s="20">
        <f t="shared" si="5"/>
        <v>0</v>
      </c>
      <c r="U43" s="14">
        <v>0</v>
      </c>
      <c r="V43" s="91" t="e">
        <f>(R43-R42)/U43</f>
        <v>#DIV/0!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</sheetData>
  <mergeCells count="15">
    <mergeCell ref="N3:Q3"/>
    <mergeCell ref="N4:Q4"/>
    <mergeCell ref="R3:V3"/>
    <mergeCell ref="R4:V4"/>
    <mergeCell ref="B10:V10"/>
    <mergeCell ref="T8:U8"/>
    <mergeCell ref="V8:W8"/>
    <mergeCell ref="F8:G8"/>
    <mergeCell ref="H8:I8"/>
    <mergeCell ref="B5:W5"/>
    <mergeCell ref="B6:H6"/>
    <mergeCell ref="J6:O6"/>
    <mergeCell ref="Q6:V6"/>
    <mergeCell ref="M8:N8"/>
    <mergeCell ref="O8:P8"/>
  </mergeCells>
  <phoneticPr fontId="0" type="noConversion"/>
  <pageMargins left="0.75" right="0.64" top="0.9" bottom="0.68" header="0.5" footer="0.5"/>
  <pageSetup scale="9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4"/>
  <sheetViews>
    <sheetView topLeftCell="B1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7.140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5" ht="36" customHeight="1" x14ac:dyDescent="0.25"/>
    <row r="3" spans="1:25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15</v>
      </c>
      <c r="C6" s="139"/>
      <c r="D6" s="139"/>
      <c r="E6" s="139"/>
      <c r="F6" s="139"/>
      <c r="G6" s="139"/>
      <c r="H6" s="140"/>
      <c r="I6" s="104"/>
      <c r="J6" s="141" t="s">
        <v>24</v>
      </c>
      <c r="K6" s="142"/>
      <c r="L6" s="142"/>
      <c r="M6" s="142"/>
      <c r="N6" s="142"/>
      <c r="O6" s="143"/>
      <c r="P6" s="104"/>
      <c r="Q6" s="141" t="s">
        <v>25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5615</v>
      </c>
      <c r="F7" s="25"/>
      <c r="G7" s="13" t="s">
        <v>6</v>
      </c>
      <c r="H7" s="65">
        <v>452</v>
      </c>
      <c r="I7" s="4"/>
      <c r="J7" s="24" t="s">
        <v>12</v>
      </c>
      <c r="K7" s="76"/>
      <c r="L7" s="13">
        <v>3610</v>
      </c>
      <c r="M7" s="25"/>
      <c r="N7" s="13" t="s">
        <v>6</v>
      </c>
      <c r="O7" s="94">
        <v>481.3</v>
      </c>
      <c r="P7" s="67"/>
      <c r="Q7" s="24" t="s">
        <v>12</v>
      </c>
      <c r="R7" s="76"/>
      <c r="S7" s="13">
        <v>5585</v>
      </c>
      <c r="T7" s="25"/>
      <c r="U7" s="13" t="s">
        <v>6</v>
      </c>
      <c r="V7" s="95">
        <v>671.84</v>
      </c>
      <c r="W7" s="96"/>
    </row>
    <row r="8" spans="1:25" ht="12" customHeight="1" x14ac:dyDescent="0.3">
      <c r="B8" s="2"/>
      <c r="C8" s="6" t="s">
        <v>5</v>
      </c>
      <c r="D8" s="77"/>
      <c r="E8" s="22">
        <v>0.73299999999999998</v>
      </c>
      <c r="F8" s="128" t="s">
        <v>7</v>
      </c>
      <c r="G8" s="129"/>
      <c r="H8" s="153">
        <v>2537631</v>
      </c>
      <c r="I8" s="154"/>
      <c r="J8" s="6" t="s">
        <v>5</v>
      </c>
      <c r="K8" s="77"/>
      <c r="L8" s="22">
        <v>0.47099999999999997</v>
      </c>
      <c r="M8" s="128" t="s">
        <v>7</v>
      </c>
      <c r="N8" s="129"/>
      <c r="O8" s="153">
        <v>1737500</v>
      </c>
      <c r="P8" s="154"/>
      <c r="Q8" s="6" t="s">
        <v>5</v>
      </c>
      <c r="R8" s="77"/>
      <c r="S8" s="22">
        <v>0.754</v>
      </c>
      <c r="T8" s="128" t="s">
        <v>7</v>
      </c>
      <c r="U8" s="144"/>
      <c r="V8" s="153">
        <v>3752250</v>
      </c>
      <c r="W8" s="154"/>
    </row>
    <row r="9" spans="1:25" ht="11.25" customHeight="1" x14ac:dyDescent="0.3">
      <c r="B9" s="2"/>
      <c r="C9" s="6" t="s">
        <v>11</v>
      </c>
      <c r="D9" s="77"/>
      <c r="E9" s="7">
        <v>7657</v>
      </c>
      <c r="F9" s="3"/>
      <c r="G9" s="3"/>
      <c r="H9" s="59"/>
      <c r="I9" s="4"/>
      <c r="J9" s="6" t="s">
        <v>11</v>
      </c>
      <c r="K9" s="77"/>
      <c r="L9" s="7">
        <v>7657</v>
      </c>
      <c r="M9" s="3"/>
      <c r="N9" s="3"/>
      <c r="O9" s="59"/>
      <c r="P9" s="66"/>
      <c r="Q9" s="6" t="s">
        <v>11</v>
      </c>
      <c r="R9" s="77"/>
      <c r="S9" s="7">
        <v>7657</v>
      </c>
      <c r="T9" s="3"/>
      <c r="U9" s="3"/>
      <c r="V9" s="97"/>
      <c r="W9" s="98"/>
    </row>
    <row r="10" spans="1:25" ht="17.25" customHeight="1" x14ac:dyDescent="0.3">
      <c r="B10" s="155" t="s">
        <v>33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7"/>
      <c r="W10" s="74"/>
      <c r="X10" s="69"/>
      <c r="Y10" s="56"/>
    </row>
    <row r="11" spans="1:25" ht="39" customHeight="1" x14ac:dyDescent="0.25">
      <c r="B11" s="99" t="s">
        <v>0</v>
      </c>
      <c r="C11" s="71" t="s">
        <v>1</v>
      </c>
      <c r="D11" s="87" t="s">
        <v>8</v>
      </c>
      <c r="E11" s="71" t="s">
        <v>2</v>
      </c>
      <c r="F11" s="71" t="s">
        <v>3</v>
      </c>
      <c r="G11" s="71" t="s">
        <v>4</v>
      </c>
      <c r="H11" s="100" t="s">
        <v>9</v>
      </c>
      <c r="I11" s="101"/>
      <c r="J11" s="70" t="s">
        <v>1</v>
      </c>
      <c r="K11" s="87" t="s">
        <v>8</v>
      </c>
      <c r="L11" s="71" t="s">
        <v>2</v>
      </c>
      <c r="M11" s="71" t="s">
        <v>3</v>
      </c>
      <c r="N11" s="71" t="s">
        <v>4</v>
      </c>
      <c r="O11" s="100" t="s">
        <v>9</v>
      </c>
      <c r="P11" s="101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1.25" customHeight="1" x14ac:dyDescent="0.25">
      <c r="B13" s="8">
        <v>1</v>
      </c>
      <c r="C13" s="9">
        <f>2845+205</f>
        <v>3050</v>
      </c>
      <c r="D13" s="55">
        <f>1142134.88+115212.09</f>
        <v>1257346.97</v>
      </c>
      <c r="E13" s="10">
        <f t="shared" ref="E13:E43" si="0">D13/C13</f>
        <v>412.24490819672133</v>
      </c>
      <c r="F13" s="11">
        <f t="shared" ref="F13:F43" si="1">C13/$E$9</f>
        <v>0.3983283270210265</v>
      </c>
      <c r="G13" s="12">
        <f>C13-'June,July,Aug '!J42</f>
        <v>96</v>
      </c>
      <c r="H13" s="29">
        <f>(D13-'June,July,Aug '!K42)/'July,Aug,Sept'!G13</f>
        <v>620.59114583333337</v>
      </c>
      <c r="I13" s="31"/>
      <c r="J13" s="52">
        <v>292</v>
      </c>
      <c r="K13" s="79">
        <v>80342.28</v>
      </c>
      <c r="L13" s="10">
        <f t="shared" ref="L13:L43" si="2">K13/J13</f>
        <v>275.14479452054792</v>
      </c>
      <c r="M13" s="11">
        <f t="shared" ref="M13:M43" si="3">J13/$L$9</f>
        <v>3.8135039832832701E-2</v>
      </c>
      <c r="N13" s="12">
        <f>J13-'June,July,Aug '!Q42</f>
        <v>0</v>
      </c>
      <c r="O13" s="36">
        <v>0</v>
      </c>
      <c r="P13" s="38"/>
      <c r="Q13" s="34">
        <v>272</v>
      </c>
      <c r="R13" s="64">
        <v>125976.85</v>
      </c>
      <c r="S13" s="60">
        <f t="shared" ref="S13:S43" si="4">R13/Q13</f>
        <v>463.15018382352946</v>
      </c>
      <c r="T13" s="11">
        <f t="shared" ref="T13:T43" si="5">Q13/$S$9</f>
        <v>3.5523050803186629E-2</v>
      </c>
      <c r="U13" s="14">
        <v>0</v>
      </c>
      <c r="V13" s="36">
        <v>0</v>
      </c>
      <c r="W13" s="42"/>
    </row>
    <row r="14" spans="1:25" ht="12" customHeight="1" x14ac:dyDescent="0.25">
      <c r="B14" s="15">
        <f>B13+1</f>
        <v>2</v>
      </c>
      <c r="C14" s="16">
        <f>375+2823</f>
        <v>3198</v>
      </c>
      <c r="D14" s="75">
        <f>1137233.06+199906.33</f>
        <v>1337139.3900000001</v>
      </c>
      <c r="E14" s="10">
        <f t="shared" si="0"/>
        <v>418.11738273921208</v>
      </c>
      <c r="F14" s="11">
        <f t="shared" si="1"/>
        <v>0.41765704584040747</v>
      </c>
      <c r="G14" s="12">
        <f t="shared" ref="G14:G43" si="6">(C14-C13)</f>
        <v>148</v>
      </c>
      <c r="H14" s="29">
        <f t="shared" ref="H14:H43" si="7">(D14-D13)/G14</f>
        <v>539.13797297297401</v>
      </c>
      <c r="I14" s="31"/>
      <c r="J14" s="35">
        <v>299</v>
      </c>
      <c r="K14" s="75">
        <v>81654.78</v>
      </c>
      <c r="L14" s="10">
        <f t="shared" si="2"/>
        <v>273.09290969899666</v>
      </c>
      <c r="M14" s="11">
        <f t="shared" si="3"/>
        <v>3.9049235993208829E-2</v>
      </c>
      <c r="N14" s="12">
        <f>(J14-J13)</f>
        <v>7</v>
      </c>
      <c r="O14" s="36">
        <f>-(K14-K13)/-N14</f>
        <v>187.5</v>
      </c>
      <c r="P14" s="38"/>
      <c r="Q14" s="34">
        <v>272</v>
      </c>
      <c r="R14" s="75">
        <v>125976.85</v>
      </c>
      <c r="S14" s="10">
        <f t="shared" si="4"/>
        <v>463.15018382352946</v>
      </c>
      <c r="T14" s="11">
        <f t="shared" si="5"/>
        <v>3.5523050803186629E-2</v>
      </c>
      <c r="U14" s="14">
        <v>0</v>
      </c>
      <c r="V14" s="36">
        <v>0</v>
      </c>
      <c r="W14" s="42"/>
    </row>
    <row r="15" spans="1:25" ht="12" customHeight="1" x14ac:dyDescent="0.25">
      <c r="B15" s="15">
        <f>B14+1</f>
        <v>3</v>
      </c>
      <c r="C15" s="16">
        <f>559+2824</f>
        <v>3383</v>
      </c>
      <c r="D15" s="75">
        <f>294500.35+1132434.65</f>
        <v>1426935</v>
      </c>
      <c r="E15" s="10">
        <f t="shared" si="0"/>
        <v>421.79574342299736</v>
      </c>
      <c r="F15" s="11">
        <f t="shared" si="1"/>
        <v>0.44181794436463367</v>
      </c>
      <c r="G15" s="12">
        <f t="shared" si="6"/>
        <v>185</v>
      </c>
      <c r="H15" s="29">
        <f t="shared" si="7"/>
        <v>485.38167567567496</v>
      </c>
      <c r="I15" s="31"/>
      <c r="J15" s="35">
        <v>299</v>
      </c>
      <c r="K15" s="75">
        <v>81654.78</v>
      </c>
      <c r="L15" s="10">
        <f t="shared" si="2"/>
        <v>273.09290969899666</v>
      </c>
      <c r="M15" s="11">
        <f t="shared" si="3"/>
        <v>3.9049235993208829E-2</v>
      </c>
      <c r="N15" s="12">
        <f>(J15-J14)</f>
        <v>0</v>
      </c>
      <c r="O15" s="36">
        <v>0</v>
      </c>
      <c r="P15" s="38"/>
      <c r="Q15" s="34">
        <v>272</v>
      </c>
      <c r="R15" s="64">
        <v>125976.85</v>
      </c>
      <c r="S15" s="60">
        <f t="shared" si="4"/>
        <v>463.15018382352946</v>
      </c>
      <c r="T15" s="11">
        <f t="shared" si="5"/>
        <v>3.5523050803186629E-2</v>
      </c>
      <c r="U15" s="14">
        <v>0</v>
      </c>
      <c r="V15" s="36">
        <v>0</v>
      </c>
      <c r="W15" s="42"/>
    </row>
    <row r="16" spans="1:25" ht="12" customHeight="1" x14ac:dyDescent="0.25">
      <c r="B16" s="15">
        <v>4</v>
      </c>
      <c r="C16" s="16">
        <f>2925+724</f>
        <v>3649</v>
      </c>
      <c r="D16" s="75">
        <f>1175459.5+372068.26</f>
        <v>1547527.76</v>
      </c>
      <c r="E16" s="10">
        <f t="shared" si="0"/>
        <v>424.09639901342831</v>
      </c>
      <c r="F16" s="11">
        <f t="shared" si="1"/>
        <v>0.47655739845892647</v>
      </c>
      <c r="G16" s="12">
        <f t="shared" si="6"/>
        <v>266</v>
      </c>
      <c r="H16" s="29">
        <f t="shared" si="7"/>
        <v>453.35624060150377</v>
      </c>
      <c r="I16" s="31"/>
      <c r="J16" s="35">
        <v>301</v>
      </c>
      <c r="K16" s="75">
        <v>82204.78</v>
      </c>
      <c r="L16" s="10">
        <f t="shared" si="2"/>
        <v>273.10558139534885</v>
      </c>
      <c r="M16" s="11">
        <f t="shared" si="3"/>
        <v>3.9310434896173439E-2</v>
      </c>
      <c r="N16" s="12">
        <f>(J16-J15)</f>
        <v>2</v>
      </c>
      <c r="O16" s="36">
        <f>-(K16-K15)/-N16</f>
        <v>275</v>
      </c>
      <c r="P16" s="38"/>
      <c r="Q16" s="34">
        <v>272</v>
      </c>
      <c r="R16" s="64">
        <v>125976.85</v>
      </c>
      <c r="S16" s="60">
        <f t="shared" si="4"/>
        <v>463.15018382352946</v>
      </c>
      <c r="T16" s="11">
        <f t="shared" si="5"/>
        <v>3.5523050803186629E-2</v>
      </c>
      <c r="U16" s="14">
        <v>0</v>
      </c>
      <c r="V16" s="36">
        <v>0</v>
      </c>
      <c r="W16" s="42"/>
    </row>
    <row r="17" spans="2:23" ht="12" customHeight="1" x14ac:dyDescent="0.25">
      <c r="B17" s="15">
        <f t="shared" ref="B17:B41" si="8">B16+1</f>
        <v>5</v>
      </c>
      <c r="C17" s="16">
        <f>923+2893</f>
        <v>3816</v>
      </c>
      <c r="D17" s="82">
        <f>1149753.55+465747.18</f>
        <v>1615500.73</v>
      </c>
      <c r="E17" s="10">
        <f t="shared" si="0"/>
        <v>423.34924790356393</v>
      </c>
      <c r="F17" s="11">
        <f t="shared" si="1"/>
        <v>0.49836750685647119</v>
      </c>
      <c r="G17" s="12">
        <f t="shared" si="6"/>
        <v>167</v>
      </c>
      <c r="H17" s="29">
        <f t="shared" si="7"/>
        <v>407.02377245508967</v>
      </c>
      <c r="I17" s="31"/>
      <c r="J17" s="35">
        <v>301</v>
      </c>
      <c r="K17" s="75">
        <v>82204.78</v>
      </c>
      <c r="L17" s="10">
        <f t="shared" si="2"/>
        <v>273.10558139534885</v>
      </c>
      <c r="M17" s="11">
        <f t="shared" si="3"/>
        <v>3.9310434896173439E-2</v>
      </c>
      <c r="N17" s="12">
        <v>0</v>
      </c>
      <c r="O17" s="36" t="e">
        <f>(K17-K16)/N17</f>
        <v>#DIV/0!</v>
      </c>
      <c r="P17" s="38"/>
      <c r="Q17" s="34">
        <v>272</v>
      </c>
      <c r="R17" s="64">
        <v>122976.85</v>
      </c>
      <c r="S17" s="60">
        <f t="shared" si="4"/>
        <v>452.12077205882355</v>
      </c>
      <c r="T17" s="11">
        <f t="shared" si="5"/>
        <v>3.5523050803186629E-2</v>
      </c>
      <c r="U17" s="14">
        <v>0</v>
      </c>
      <c r="V17" s="36">
        <v>0</v>
      </c>
      <c r="W17" s="42"/>
    </row>
    <row r="18" spans="2:23" ht="12" customHeight="1" x14ac:dyDescent="0.25">
      <c r="B18" s="15">
        <f t="shared" si="8"/>
        <v>6</v>
      </c>
      <c r="C18" s="16">
        <f>1132+3000</f>
        <v>4132</v>
      </c>
      <c r="D18" s="82">
        <f>571884.86+1200115.85</f>
        <v>1772000.71</v>
      </c>
      <c r="E18" s="10">
        <f t="shared" si="0"/>
        <v>428.84818731848981</v>
      </c>
      <c r="F18" s="11">
        <f t="shared" si="1"/>
        <v>0.53963693352487918</v>
      </c>
      <c r="G18" s="12">
        <f t="shared" si="6"/>
        <v>316</v>
      </c>
      <c r="H18" s="29">
        <f t="shared" si="7"/>
        <v>495.25310126582275</v>
      </c>
      <c r="I18" s="31">
        <v>0</v>
      </c>
      <c r="J18" s="35">
        <v>308</v>
      </c>
      <c r="K18" s="75">
        <v>83316.47</v>
      </c>
      <c r="L18" s="10">
        <f t="shared" si="2"/>
        <v>270.50801948051947</v>
      </c>
      <c r="M18" s="11">
        <f t="shared" si="3"/>
        <v>4.022463105654956E-2</v>
      </c>
      <c r="N18" s="12">
        <f t="shared" ref="N18:N43" si="9">(J18-J17)</f>
        <v>7</v>
      </c>
      <c r="O18" s="36">
        <f>(K18-K17)/N18</f>
        <v>158.81285714285747</v>
      </c>
      <c r="P18" s="38"/>
      <c r="Q18" s="34">
        <v>277</v>
      </c>
      <c r="R18" s="64">
        <v>125185.2</v>
      </c>
      <c r="S18" s="60">
        <f t="shared" si="4"/>
        <v>451.93212996389889</v>
      </c>
      <c r="T18" s="11">
        <f t="shared" si="5"/>
        <v>3.6176048060598147E-2</v>
      </c>
      <c r="U18" s="14">
        <v>0</v>
      </c>
      <c r="V18" s="36">
        <v>0</v>
      </c>
      <c r="W18" s="42"/>
    </row>
    <row r="19" spans="2:23" ht="12" customHeight="1" x14ac:dyDescent="0.25">
      <c r="B19" s="15">
        <f t="shared" si="8"/>
        <v>7</v>
      </c>
      <c r="C19" s="16">
        <f>3162+1357</f>
        <v>4519</v>
      </c>
      <c r="D19" s="82">
        <f>1289069.27+690580.5</f>
        <v>1979649.77</v>
      </c>
      <c r="E19" s="10">
        <f t="shared" si="0"/>
        <v>438.07253153352514</v>
      </c>
      <c r="F19" s="11">
        <f t="shared" si="1"/>
        <v>0.59017892124853077</v>
      </c>
      <c r="G19" s="12">
        <f t="shared" si="6"/>
        <v>387</v>
      </c>
      <c r="H19" s="29">
        <f t="shared" si="7"/>
        <v>536.56087855297176</v>
      </c>
      <c r="I19" s="31"/>
      <c r="J19" s="35">
        <v>318</v>
      </c>
      <c r="K19" s="75">
        <v>88041.47</v>
      </c>
      <c r="L19" s="10">
        <f t="shared" si="2"/>
        <v>276.85996855345911</v>
      </c>
      <c r="M19" s="11">
        <f t="shared" si="3"/>
        <v>4.1530625571372604E-2</v>
      </c>
      <c r="N19" s="12">
        <f t="shared" si="9"/>
        <v>10</v>
      </c>
      <c r="O19" s="36">
        <f>-(K19-K18)/-N19</f>
        <v>472.5</v>
      </c>
      <c r="P19" s="38"/>
      <c r="Q19" s="34">
        <v>282</v>
      </c>
      <c r="R19" s="64">
        <v>125526.87</v>
      </c>
      <c r="S19" s="60">
        <f t="shared" si="4"/>
        <v>445.13074468085102</v>
      </c>
      <c r="T19" s="11">
        <f t="shared" si="5"/>
        <v>3.6829045318009665E-2</v>
      </c>
      <c r="U19" s="14">
        <f>Q19-Q18</f>
        <v>5</v>
      </c>
      <c r="V19" s="36">
        <f>(R19-R18)/U19</f>
        <v>68.333999999999648</v>
      </c>
      <c r="W19" s="42"/>
    </row>
    <row r="20" spans="2:23" ht="12" customHeight="1" x14ac:dyDescent="0.25">
      <c r="B20" s="15">
        <f t="shared" si="8"/>
        <v>8</v>
      </c>
      <c r="C20" s="16">
        <f>3058+1571</f>
        <v>4629</v>
      </c>
      <c r="D20" s="82">
        <f>791601.63+1273185.05</f>
        <v>2064786.6800000002</v>
      </c>
      <c r="E20" s="10">
        <f t="shared" si="0"/>
        <v>446.05458630373732</v>
      </c>
      <c r="F20" s="11">
        <f t="shared" si="1"/>
        <v>0.60454486091158421</v>
      </c>
      <c r="G20" s="12">
        <f t="shared" si="6"/>
        <v>110</v>
      </c>
      <c r="H20" s="29">
        <f t="shared" si="7"/>
        <v>773.97190909091046</v>
      </c>
      <c r="I20" s="31"/>
      <c r="J20" s="35">
        <v>328</v>
      </c>
      <c r="K20" s="75">
        <v>95074.81</v>
      </c>
      <c r="L20" s="10">
        <f t="shared" si="2"/>
        <v>289.86222560975608</v>
      </c>
      <c r="M20" s="11">
        <f t="shared" si="3"/>
        <v>4.283662008619564E-2</v>
      </c>
      <c r="N20" s="12">
        <f t="shared" si="9"/>
        <v>10</v>
      </c>
      <c r="O20" s="36">
        <f>(K20-K19)/N20</f>
        <v>703.33399999999961</v>
      </c>
      <c r="P20" s="38"/>
      <c r="Q20" s="34">
        <v>282</v>
      </c>
      <c r="R20" s="64">
        <v>125526.87</v>
      </c>
      <c r="S20" s="60">
        <f t="shared" si="4"/>
        <v>445.13074468085102</v>
      </c>
      <c r="T20" s="11">
        <f t="shared" si="5"/>
        <v>3.6829045318009665E-2</v>
      </c>
      <c r="U20" s="14">
        <v>0</v>
      </c>
      <c r="V20" s="36">
        <v>0</v>
      </c>
      <c r="W20" s="42"/>
    </row>
    <row r="21" spans="2:23" ht="12" customHeight="1" x14ac:dyDescent="0.25">
      <c r="B21" s="15">
        <f t="shared" si="8"/>
        <v>9</v>
      </c>
      <c r="C21" s="16">
        <f>3068+1769</f>
        <v>4837</v>
      </c>
      <c r="D21" s="82">
        <f>881018.57+1301901.03</f>
        <v>2182919.6</v>
      </c>
      <c r="E21" s="10">
        <f t="shared" si="0"/>
        <v>451.29617531527811</v>
      </c>
      <c r="F21" s="11">
        <f t="shared" si="1"/>
        <v>0.63170954681990332</v>
      </c>
      <c r="G21" s="12">
        <f t="shared" si="6"/>
        <v>208</v>
      </c>
      <c r="H21" s="29">
        <f t="shared" si="7"/>
        <v>567.94673076923038</v>
      </c>
      <c r="I21" s="31"/>
      <c r="J21" s="35">
        <v>370</v>
      </c>
      <c r="K21" s="75">
        <v>110018.16</v>
      </c>
      <c r="L21" s="10">
        <f t="shared" si="2"/>
        <v>297.3463783783784</v>
      </c>
      <c r="M21" s="11">
        <f t="shared" si="3"/>
        <v>4.8321797048452395E-2</v>
      </c>
      <c r="N21" s="12">
        <f t="shared" si="9"/>
        <v>42</v>
      </c>
      <c r="O21" s="36">
        <f t="shared" ref="O21:O43" si="10">(K21-K20)/N21</f>
        <v>355.79404761904777</v>
      </c>
      <c r="P21" s="38"/>
      <c r="Q21" s="34">
        <v>308</v>
      </c>
      <c r="R21" s="64">
        <v>144143.57</v>
      </c>
      <c r="S21" s="60">
        <f t="shared" si="4"/>
        <v>467.99860389610393</v>
      </c>
      <c r="T21" s="11">
        <f t="shared" si="5"/>
        <v>4.022463105654956E-2</v>
      </c>
      <c r="U21" s="14">
        <f>Q21-Q20</f>
        <v>26</v>
      </c>
      <c r="V21" s="36">
        <f>(R21-R20)/U21</f>
        <v>716.02692307692348</v>
      </c>
      <c r="W21" s="42"/>
    </row>
    <row r="22" spans="2:23" ht="12" customHeight="1" x14ac:dyDescent="0.25">
      <c r="B22" s="15">
        <f t="shared" si="8"/>
        <v>10</v>
      </c>
      <c r="C22" s="16">
        <f>2992+1968</f>
        <v>4960</v>
      </c>
      <c r="D22" s="82">
        <f>975262.68+1286899.25</f>
        <v>2262161.9300000002</v>
      </c>
      <c r="E22" s="10">
        <f t="shared" si="0"/>
        <v>456.0810342741936</v>
      </c>
      <c r="F22" s="11">
        <f t="shared" si="1"/>
        <v>0.64777327935222673</v>
      </c>
      <c r="G22" s="12">
        <f t="shared" si="6"/>
        <v>123</v>
      </c>
      <c r="H22" s="29">
        <f t="shared" si="7"/>
        <v>644.24658536585423</v>
      </c>
      <c r="I22" s="31"/>
      <c r="J22" s="35">
        <v>386</v>
      </c>
      <c r="K22" s="75">
        <v>117484.8</v>
      </c>
      <c r="L22" s="10">
        <f t="shared" si="2"/>
        <v>304.36476683937826</v>
      </c>
      <c r="M22" s="11">
        <f t="shared" si="3"/>
        <v>5.0411388272169254E-2</v>
      </c>
      <c r="N22" s="12">
        <f t="shared" si="9"/>
        <v>16</v>
      </c>
      <c r="O22" s="36">
        <f t="shared" si="10"/>
        <v>466.66499999999996</v>
      </c>
      <c r="P22" s="38"/>
      <c r="Q22" s="34">
        <v>308</v>
      </c>
      <c r="R22" s="64">
        <v>143843.57</v>
      </c>
      <c r="S22" s="60">
        <f t="shared" si="4"/>
        <v>467.02457792207792</v>
      </c>
      <c r="T22" s="11">
        <f t="shared" si="5"/>
        <v>4.022463105654956E-2</v>
      </c>
      <c r="U22" s="14">
        <v>0</v>
      </c>
      <c r="V22" s="36">
        <v>0</v>
      </c>
      <c r="W22" s="42"/>
    </row>
    <row r="23" spans="2:23" ht="12" customHeight="1" x14ac:dyDescent="0.25">
      <c r="B23" s="15">
        <f t="shared" si="8"/>
        <v>11</v>
      </c>
      <c r="C23" s="16">
        <f>2932+2168</f>
        <v>5100</v>
      </c>
      <c r="D23" s="82">
        <f>1071161.83+1249434.75</f>
        <v>2320596.58</v>
      </c>
      <c r="E23" s="10">
        <f t="shared" si="0"/>
        <v>455.01893725490197</v>
      </c>
      <c r="F23" s="11">
        <f t="shared" si="1"/>
        <v>0.66605720255974921</v>
      </c>
      <c r="G23" s="12">
        <f t="shared" si="6"/>
        <v>140</v>
      </c>
      <c r="H23" s="29">
        <f t="shared" si="7"/>
        <v>417.39035714285649</v>
      </c>
      <c r="I23" s="31"/>
      <c r="J23" s="35">
        <v>393</v>
      </c>
      <c r="K23" s="75">
        <v>123009.8</v>
      </c>
      <c r="L23" s="10">
        <f t="shared" si="2"/>
        <v>313.00203562340965</v>
      </c>
      <c r="M23" s="11">
        <f t="shared" si="3"/>
        <v>5.1325584432545382E-2</v>
      </c>
      <c r="N23" s="12">
        <f t="shared" si="9"/>
        <v>7</v>
      </c>
      <c r="O23" s="36">
        <f t="shared" si="10"/>
        <v>789.28571428571433</v>
      </c>
      <c r="P23" s="38"/>
      <c r="Q23" s="34">
        <v>314</v>
      </c>
      <c r="R23" s="64">
        <v>147223.57</v>
      </c>
      <c r="S23" s="60">
        <f t="shared" si="4"/>
        <v>468.86487261146499</v>
      </c>
      <c r="T23" s="11">
        <f t="shared" si="5"/>
        <v>4.1008227765443384E-2</v>
      </c>
      <c r="U23" s="14">
        <f>Q23-Q22</f>
        <v>6</v>
      </c>
      <c r="V23" s="36">
        <f>(R23-R22)/U23</f>
        <v>563.33333333333337</v>
      </c>
      <c r="W23" s="42"/>
    </row>
    <row r="24" spans="2:23" ht="12" customHeight="1" x14ac:dyDescent="0.25">
      <c r="B24" s="15">
        <f t="shared" si="8"/>
        <v>12</v>
      </c>
      <c r="C24" s="16">
        <f>2917+2382</f>
        <v>5299</v>
      </c>
      <c r="D24" s="82">
        <f>1180116.48+1250888.18</f>
        <v>2431004.66</v>
      </c>
      <c r="E24" s="10">
        <f t="shared" si="0"/>
        <v>458.76668428005286</v>
      </c>
      <c r="F24" s="11">
        <f t="shared" si="1"/>
        <v>0.69204649340472768</v>
      </c>
      <c r="G24" s="12">
        <f t="shared" si="6"/>
        <v>199</v>
      </c>
      <c r="H24" s="29">
        <f t="shared" si="7"/>
        <v>554.81447236180941</v>
      </c>
      <c r="I24" s="31">
        <v>635.86</v>
      </c>
      <c r="J24" s="35">
        <v>396</v>
      </c>
      <c r="K24" s="75">
        <v>125109.8</v>
      </c>
      <c r="L24" s="10">
        <f t="shared" si="2"/>
        <v>315.93383838383841</v>
      </c>
      <c r="M24" s="11">
        <f t="shared" si="3"/>
        <v>5.1717382786992297E-2</v>
      </c>
      <c r="N24" s="12">
        <f t="shared" si="9"/>
        <v>3</v>
      </c>
      <c r="O24" s="36">
        <f t="shared" si="10"/>
        <v>700</v>
      </c>
      <c r="P24" s="38"/>
      <c r="Q24" s="34">
        <v>322</v>
      </c>
      <c r="R24" s="64">
        <v>150756.93</v>
      </c>
      <c r="S24" s="60">
        <f t="shared" si="4"/>
        <v>468.18922360248445</v>
      </c>
      <c r="T24" s="11">
        <f t="shared" si="5"/>
        <v>4.2053023377301817E-2</v>
      </c>
      <c r="U24" s="14">
        <f>Q24-Q23</f>
        <v>8</v>
      </c>
      <c r="V24" s="36">
        <f t="shared" ref="V24:V43" si="11">(R24-R23)/U24</f>
        <v>441.66999999999825</v>
      </c>
      <c r="W24" s="42"/>
    </row>
    <row r="25" spans="2:23" ht="12" customHeight="1" x14ac:dyDescent="0.25">
      <c r="B25" s="15">
        <f t="shared" si="8"/>
        <v>13</v>
      </c>
      <c r="C25" s="16">
        <f>2957+2613</f>
        <v>5570</v>
      </c>
      <c r="D25" s="82">
        <f>1305856.13+1277550.23</f>
        <v>2583406.36</v>
      </c>
      <c r="E25" s="10">
        <f t="shared" si="0"/>
        <v>463.80724596050266</v>
      </c>
      <c r="F25" s="11">
        <f t="shared" si="1"/>
        <v>0.727438944756432</v>
      </c>
      <c r="G25" s="12">
        <f t="shared" si="6"/>
        <v>271</v>
      </c>
      <c r="H25" s="29">
        <f t="shared" si="7"/>
        <v>562.36789667896574</v>
      </c>
      <c r="I25" s="31"/>
      <c r="J25" s="35">
        <v>422</v>
      </c>
      <c r="K25" s="75">
        <v>135923.12</v>
      </c>
      <c r="L25" s="10">
        <f t="shared" si="2"/>
        <v>322.09270142180094</v>
      </c>
      <c r="M25" s="11">
        <f t="shared" si="3"/>
        <v>5.5112968525532192E-2</v>
      </c>
      <c r="N25" s="12">
        <f t="shared" si="9"/>
        <v>26</v>
      </c>
      <c r="O25" s="36">
        <f t="shared" si="10"/>
        <v>415.8969230769228</v>
      </c>
      <c r="P25" s="38"/>
      <c r="Q25" s="34">
        <v>324</v>
      </c>
      <c r="R25" s="64">
        <v>152756.93</v>
      </c>
      <c r="S25" s="60">
        <f t="shared" si="4"/>
        <v>471.47200617283949</v>
      </c>
      <c r="T25" s="11">
        <f t="shared" si="5"/>
        <v>4.231422228026642E-2</v>
      </c>
      <c r="U25" s="14">
        <f>Q25-Q24</f>
        <v>2</v>
      </c>
      <c r="V25" s="36">
        <f t="shared" si="11"/>
        <v>1000</v>
      </c>
      <c r="W25" s="42"/>
    </row>
    <row r="26" spans="2:23" ht="12" customHeight="1" x14ac:dyDescent="0.25">
      <c r="B26" s="15">
        <f t="shared" si="8"/>
        <v>14</v>
      </c>
      <c r="C26" s="16">
        <f>2842+2840</f>
        <v>5682</v>
      </c>
      <c r="D26" s="82">
        <f>1443729.01+1196178.88</f>
        <v>2639907.8899999997</v>
      </c>
      <c r="E26" s="10">
        <f t="shared" si="0"/>
        <v>464.60892115452299</v>
      </c>
      <c r="F26" s="11">
        <f t="shared" si="1"/>
        <v>0.74206608332245005</v>
      </c>
      <c r="G26" s="12">
        <f t="shared" si="6"/>
        <v>112</v>
      </c>
      <c r="H26" s="29">
        <f t="shared" si="7"/>
        <v>504.47794642856962</v>
      </c>
      <c r="I26" s="31"/>
      <c r="J26" s="35">
        <v>458</v>
      </c>
      <c r="K26" s="75">
        <v>148696.4</v>
      </c>
      <c r="L26" s="10">
        <f t="shared" si="2"/>
        <v>324.66462882096067</v>
      </c>
      <c r="M26" s="11">
        <f t="shared" si="3"/>
        <v>5.9814548778895131E-2</v>
      </c>
      <c r="N26" s="12">
        <f t="shared" si="9"/>
        <v>36</v>
      </c>
      <c r="O26" s="36">
        <f t="shared" si="10"/>
        <v>354.81333333333328</v>
      </c>
      <c r="P26" s="38"/>
      <c r="Q26" s="34">
        <v>324</v>
      </c>
      <c r="R26" s="64">
        <v>152756.93</v>
      </c>
      <c r="S26" s="60">
        <f t="shared" si="4"/>
        <v>471.47200617283949</v>
      </c>
      <c r="T26" s="11">
        <f t="shared" si="5"/>
        <v>4.231422228026642E-2</v>
      </c>
      <c r="U26" s="14">
        <v>0</v>
      </c>
      <c r="V26" s="36">
        <v>0</v>
      </c>
      <c r="W26" s="42"/>
    </row>
    <row r="27" spans="2:23" ht="12" customHeight="1" x14ac:dyDescent="0.25">
      <c r="B27" s="15">
        <f t="shared" si="8"/>
        <v>15</v>
      </c>
      <c r="C27" s="16">
        <f>3059+2636</f>
        <v>5695</v>
      </c>
      <c r="D27" s="82">
        <f>1574884.32+1099383.31</f>
        <v>2674267.63</v>
      </c>
      <c r="E27" s="10">
        <f t="shared" si="0"/>
        <v>469.58167339771728</v>
      </c>
      <c r="F27" s="11">
        <f t="shared" si="1"/>
        <v>0.74376387619172002</v>
      </c>
      <c r="G27" s="12">
        <f t="shared" si="6"/>
        <v>13</v>
      </c>
      <c r="H27" s="29">
        <f t="shared" si="7"/>
        <v>2643.0569230769402</v>
      </c>
      <c r="I27" s="31"/>
      <c r="J27" s="35">
        <v>490</v>
      </c>
      <c r="K27" s="75">
        <v>160561.41</v>
      </c>
      <c r="L27" s="10">
        <f t="shared" si="2"/>
        <v>327.67634693877551</v>
      </c>
      <c r="M27" s="11">
        <f t="shared" si="3"/>
        <v>6.3993731226328843E-2</v>
      </c>
      <c r="N27" s="12">
        <f t="shared" si="9"/>
        <v>32</v>
      </c>
      <c r="O27" s="36">
        <f t="shared" si="10"/>
        <v>370.78156250000029</v>
      </c>
      <c r="P27" s="38"/>
      <c r="Q27" s="34">
        <v>336</v>
      </c>
      <c r="R27" s="64">
        <v>160646.93</v>
      </c>
      <c r="S27" s="60">
        <f t="shared" si="4"/>
        <v>478.11586309523807</v>
      </c>
      <c r="T27" s="11">
        <f t="shared" si="5"/>
        <v>4.3881415698054066E-2</v>
      </c>
      <c r="U27" s="14">
        <f t="shared" ref="U27:U43" si="12">Q27-Q26</f>
        <v>12</v>
      </c>
      <c r="V27" s="36">
        <f t="shared" si="11"/>
        <v>657.5</v>
      </c>
      <c r="W27" s="42"/>
    </row>
    <row r="28" spans="2:23" ht="12" customHeight="1" x14ac:dyDescent="0.25">
      <c r="B28" s="15">
        <f t="shared" si="8"/>
        <v>16</v>
      </c>
      <c r="C28" s="16">
        <f>3292+2463</f>
        <v>5755</v>
      </c>
      <c r="D28" s="82">
        <f>1021206.01+1694483.11</f>
        <v>2715689.12</v>
      </c>
      <c r="E28" s="10">
        <f t="shared" si="0"/>
        <v>471.88342658557775</v>
      </c>
      <c r="F28" s="11">
        <f t="shared" si="1"/>
        <v>0.75159984328065821</v>
      </c>
      <c r="G28" s="12">
        <f t="shared" si="6"/>
        <v>60</v>
      </c>
      <c r="H28" s="29">
        <f t="shared" si="7"/>
        <v>690.3581666666704</v>
      </c>
      <c r="I28" s="31"/>
      <c r="J28" s="35">
        <v>491</v>
      </c>
      <c r="K28" s="75">
        <v>161361.41</v>
      </c>
      <c r="L28" s="10">
        <f t="shared" si="2"/>
        <v>328.63830957230141</v>
      </c>
      <c r="M28" s="11">
        <f t="shared" si="3"/>
        <v>6.4124330677811148E-2</v>
      </c>
      <c r="N28" s="12">
        <f t="shared" si="9"/>
        <v>1</v>
      </c>
      <c r="O28" s="36">
        <f t="shared" si="10"/>
        <v>800</v>
      </c>
      <c r="P28" s="38"/>
      <c r="Q28" s="34">
        <v>341</v>
      </c>
      <c r="R28" s="64">
        <v>164846.93</v>
      </c>
      <c r="S28" s="60">
        <f t="shared" si="4"/>
        <v>483.42208211143691</v>
      </c>
      <c r="T28" s="11">
        <f t="shared" si="5"/>
        <v>4.4534412955465584E-2</v>
      </c>
      <c r="U28" s="14">
        <f t="shared" si="12"/>
        <v>5</v>
      </c>
      <c r="V28" s="36">
        <f t="shared" si="11"/>
        <v>840</v>
      </c>
      <c r="W28" s="42"/>
    </row>
    <row r="29" spans="2:23" ht="12" customHeight="1" x14ac:dyDescent="0.25">
      <c r="B29" s="15">
        <f t="shared" si="8"/>
        <v>17</v>
      </c>
      <c r="C29" s="16">
        <f>3527+2270</f>
        <v>5797</v>
      </c>
      <c r="D29" s="83">
        <f>947251.53+1804941.53</f>
        <v>2752193.06</v>
      </c>
      <c r="E29" s="10">
        <f t="shared" si="0"/>
        <v>474.76161117819561</v>
      </c>
      <c r="F29" s="11">
        <f t="shared" si="1"/>
        <v>0.75708502024291502</v>
      </c>
      <c r="G29" s="12">
        <f t="shared" si="6"/>
        <v>42</v>
      </c>
      <c r="H29" s="29">
        <f t="shared" si="7"/>
        <v>869.14142857142724</v>
      </c>
      <c r="I29" s="31"/>
      <c r="J29" s="35">
        <v>494</v>
      </c>
      <c r="K29" s="75">
        <v>162611.41</v>
      </c>
      <c r="L29" s="10">
        <f t="shared" si="2"/>
        <v>329.17289473684212</v>
      </c>
      <c r="M29" s="11">
        <f t="shared" si="3"/>
        <v>6.4516129032258063E-2</v>
      </c>
      <c r="N29" s="12">
        <f t="shared" si="9"/>
        <v>3</v>
      </c>
      <c r="O29" s="36">
        <f t="shared" si="10"/>
        <v>416.66666666666669</v>
      </c>
      <c r="P29" s="38"/>
      <c r="Q29" s="34">
        <v>343</v>
      </c>
      <c r="R29" s="64">
        <v>166146.93</v>
      </c>
      <c r="S29" s="60">
        <f t="shared" si="4"/>
        <v>484.39338192419825</v>
      </c>
      <c r="T29" s="11">
        <f t="shared" si="5"/>
        <v>4.4795611858430194E-2</v>
      </c>
      <c r="U29" s="14">
        <f t="shared" si="12"/>
        <v>2</v>
      </c>
      <c r="V29" s="36">
        <f t="shared" si="11"/>
        <v>650</v>
      </c>
      <c r="W29" s="42"/>
    </row>
    <row r="30" spans="2:23" ht="12" customHeight="1" x14ac:dyDescent="0.25">
      <c r="B30" s="15">
        <f t="shared" si="8"/>
        <v>18</v>
      </c>
      <c r="C30" s="16">
        <f>3764+2096</f>
        <v>5860</v>
      </c>
      <c r="D30" s="84">
        <f>887278.52+1921261.71</f>
        <v>2808540.23</v>
      </c>
      <c r="E30" s="10">
        <f t="shared" si="0"/>
        <v>479.27307679180888</v>
      </c>
      <c r="F30" s="11">
        <f t="shared" si="1"/>
        <v>0.76531278568630012</v>
      </c>
      <c r="G30" s="12">
        <f t="shared" si="6"/>
        <v>63</v>
      </c>
      <c r="H30" s="29">
        <f t="shared" si="7"/>
        <v>894.39952380952263</v>
      </c>
      <c r="I30" s="31"/>
      <c r="J30" s="35">
        <v>516</v>
      </c>
      <c r="K30" s="75">
        <v>169701.43</v>
      </c>
      <c r="L30" s="10">
        <f t="shared" si="2"/>
        <v>328.87874031007749</v>
      </c>
      <c r="M30" s="11">
        <f t="shared" si="3"/>
        <v>6.7389316964868745E-2</v>
      </c>
      <c r="N30" s="12">
        <f t="shared" si="9"/>
        <v>22</v>
      </c>
      <c r="O30" s="36">
        <f t="shared" si="10"/>
        <v>322.27363636363589</v>
      </c>
      <c r="P30" s="38"/>
      <c r="Q30" s="34">
        <v>449</v>
      </c>
      <c r="R30" s="64">
        <v>226446.93</v>
      </c>
      <c r="S30" s="60">
        <f t="shared" si="4"/>
        <v>504.33614699331849</v>
      </c>
      <c r="T30" s="11">
        <f t="shared" si="5"/>
        <v>5.8639153715554393E-2</v>
      </c>
      <c r="U30" s="14">
        <f t="shared" si="12"/>
        <v>106</v>
      </c>
      <c r="V30" s="36">
        <f t="shared" si="11"/>
        <v>568.86792452830184</v>
      </c>
      <c r="W30" s="42"/>
    </row>
    <row r="31" spans="2:23" ht="12" customHeight="1" x14ac:dyDescent="0.25">
      <c r="B31" s="15">
        <f t="shared" si="8"/>
        <v>19</v>
      </c>
      <c r="C31" s="16">
        <f>4011+1966</f>
        <v>5977</v>
      </c>
      <c r="D31" s="84">
        <f>836207.3+2058255.27</f>
        <v>2894462.5700000003</v>
      </c>
      <c r="E31" s="10">
        <f t="shared" si="0"/>
        <v>484.26678433996994</v>
      </c>
      <c r="F31" s="11">
        <f t="shared" si="1"/>
        <v>0.7805929215097297</v>
      </c>
      <c r="G31" s="12">
        <f t="shared" si="6"/>
        <v>117</v>
      </c>
      <c r="H31" s="29">
        <f t="shared" si="7"/>
        <v>734.37897435897708</v>
      </c>
      <c r="I31" s="31"/>
      <c r="J31" s="35">
        <v>543</v>
      </c>
      <c r="K31" s="75">
        <v>179266.27</v>
      </c>
      <c r="L31" s="10">
        <f t="shared" si="2"/>
        <v>330.14046040515655</v>
      </c>
      <c r="M31" s="11">
        <f t="shared" si="3"/>
        <v>7.0915502154890953E-2</v>
      </c>
      <c r="N31" s="12">
        <f t="shared" si="9"/>
        <v>27</v>
      </c>
      <c r="O31" s="36">
        <f t="shared" si="10"/>
        <v>354.25333333333322</v>
      </c>
      <c r="P31" s="38"/>
      <c r="Q31" s="34">
        <v>539</v>
      </c>
      <c r="R31" s="64">
        <v>279080.27</v>
      </c>
      <c r="S31" s="60">
        <f t="shared" si="4"/>
        <v>517.77415584415587</v>
      </c>
      <c r="T31" s="11">
        <f t="shared" si="5"/>
        <v>7.0393104348961733E-2</v>
      </c>
      <c r="U31" s="14">
        <f t="shared" si="12"/>
        <v>90</v>
      </c>
      <c r="V31" s="36">
        <f t="shared" si="11"/>
        <v>584.81488888888919</v>
      </c>
      <c r="W31" s="42"/>
    </row>
    <row r="32" spans="2:23" ht="12" customHeight="1" x14ac:dyDescent="0.25">
      <c r="B32" s="15">
        <f t="shared" si="8"/>
        <v>20</v>
      </c>
      <c r="C32" s="16">
        <f>4258+1718</f>
        <v>5976</v>
      </c>
      <c r="D32" s="84">
        <f>711407.83+2187444.18</f>
        <v>2898852.0100000002</v>
      </c>
      <c r="E32" s="10">
        <f t="shared" si="0"/>
        <v>485.0823309906292</v>
      </c>
      <c r="F32" s="11">
        <f t="shared" si="1"/>
        <v>0.78046232205824739</v>
      </c>
      <c r="G32" s="12">
        <f t="shared" si="6"/>
        <v>-1</v>
      </c>
      <c r="H32" s="29">
        <f t="shared" si="7"/>
        <v>-4389.4399999999441</v>
      </c>
      <c r="I32" s="31"/>
      <c r="J32" s="35">
        <v>560</v>
      </c>
      <c r="K32" s="75">
        <v>185826.27</v>
      </c>
      <c r="L32" s="10">
        <f t="shared" si="2"/>
        <v>331.83262500000001</v>
      </c>
      <c r="M32" s="11">
        <f t="shared" si="3"/>
        <v>7.313569283009011E-2</v>
      </c>
      <c r="N32" s="12">
        <f t="shared" si="9"/>
        <v>17</v>
      </c>
      <c r="O32" s="36">
        <f t="shared" si="10"/>
        <v>385.88235294117646</v>
      </c>
      <c r="P32" s="38"/>
      <c r="Q32" s="34">
        <v>592</v>
      </c>
      <c r="R32" s="64">
        <v>299705.26</v>
      </c>
      <c r="S32" s="60">
        <f t="shared" si="4"/>
        <v>506.25888513513513</v>
      </c>
      <c r="T32" s="11">
        <f t="shared" si="5"/>
        <v>7.7314875277523828E-2</v>
      </c>
      <c r="U32" s="14">
        <f t="shared" si="12"/>
        <v>53</v>
      </c>
      <c r="V32" s="36">
        <f t="shared" si="11"/>
        <v>389.15075471698094</v>
      </c>
      <c r="W32" s="42"/>
    </row>
    <row r="33" spans="2:23" ht="12" customHeight="1" x14ac:dyDescent="0.25">
      <c r="B33" s="15">
        <f t="shared" si="8"/>
        <v>21</v>
      </c>
      <c r="C33" s="16">
        <f>4505+1556</f>
        <v>6061</v>
      </c>
      <c r="D33" s="82">
        <f>2324870.62+647983.8</f>
        <v>2972854.42</v>
      </c>
      <c r="E33" s="10">
        <f t="shared" si="0"/>
        <v>490.48909750866193</v>
      </c>
      <c r="F33" s="11">
        <f t="shared" si="1"/>
        <v>0.79156327543424321</v>
      </c>
      <c r="G33" s="12">
        <f t="shared" si="6"/>
        <v>85</v>
      </c>
      <c r="H33" s="29">
        <f t="shared" si="7"/>
        <v>870.61658823529035</v>
      </c>
      <c r="I33" s="31"/>
      <c r="J33" s="35">
        <v>614</v>
      </c>
      <c r="K33" s="75">
        <v>198736.17</v>
      </c>
      <c r="L33" s="10">
        <f t="shared" si="2"/>
        <v>323.67454397394141</v>
      </c>
      <c r="M33" s="11">
        <f t="shared" si="3"/>
        <v>8.0188063210134511E-2</v>
      </c>
      <c r="N33" s="12">
        <f t="shared" si="9"/>
        <v>54</v>
      </c>
      <c r="O33" s="36">
        <f t="shared" si="10"/>
        <v>239.07222222222265</v>
      </c>
      <c r="P33" s="38"/>
      <c r="Q33" s="34">
        <v>670</v>
      </c>
      <c r="R33" s="64">
        <v>339316.9</v>
      </c>
      <c r="S33" s="60">
        <f t="shared" si="4"/>
        <v>506.44313432835827</v>
      </c>
      <c r="T33" s="11">
        <f t="shared" si="5"/>
        <v>8.7501632493143522E-2</v>
      </c>
      <c r="U33" s="14">
        <f t="shared" si="12"/>
        <v>78</v>
      </c>
      <c r="V33" s="36">
        <f t="shared" si="11"/>
        <v>507.84153846153862</v>
      </c>
      <c r="W33" s="42"/>
    </row>
    <row r="34" spans="2:23" ht="12" customHeight="1" x14ac:dyDescent="0.25">
      <c r="B34" s="15">
        <f t="shared" si="8"/>
        <v>22</v>
      </c>
      <c r="C34" s="16">
        <f>1374+4739</f>
        <v>6113</v>
      </c>
      <c r="D34" s="82">
        <f>564453.69+2461659</f>
        <v>3026112.69</v>
      </c>
      <c r="E34" s="10">
        <f t="shared" si="0"/>
        <v>495.02906756093569</v>
      </c>
      <c r="F34" s="11">
        <f t="shared" si="1"/>
        <v>0.79835444691132296</v>
      </c>
      <c r="G34" s="12">
        <f t="shared" si="6"/>
        <v>52</v>
      </c>
      <c r="H34" s="29">
        <f t="shared" si="7"/>
        <v>1024.1975000000004</v>
      </c>
      <c r="I34" s="31"/>
      <c r="J34" s="35">
        <v>616</v>
      </c>
      <c r="K34" s="75">
        <v>200036.17</v>
      </c>
      <c r="L34" s="10">
        <f t="shared" si="2"/>
        <v>324.73404220779224</v>
      </c>
      <c r="M34" s="11">
        <f t="shared" si="3"/>
        <v>8.0449262113099121E-2</v>
      </c>
      <c r="N34" s="12">
        <f t="shared" si="9"/>
        <v>2</v>
      </c>
      <c r="O34" s="36">
        <f t="shared" si="10"/>
        <v>650</v>
      </c>
      <c r="P34" s="38"/>
      <c r="Q34" s="34">
        <v>682</v>
      </c>
      <c r="R34" s="64">
        <v>349841.89</v>
      </c>
      <c r="S34" s="60">
        <f t="shared" si="4"/>
        <v>512.96464809384167</v>
      </c>
      <c r="T34" s="11">
        <f t="shared" si="5"/>
        <v>8.9068825910931168E-2</v>
      </c>
      <c r="U34" s="14">
        <f t="shared" si="12"/>
        <v>12</v>
      </c>
      <c r="V34" s="36">
        <f t="shared" si="11"/>
        <v>877.08249999999919</v>
      </c>
      <c r="W34" s="42"/>
    </row>
    <row r="35" spans="2:23" ht="12" customHeight="1" x14ac:dyDescent="0.25">
      <c r="B35" s="15">
        <f t="shared" si="8"/>
        <v>23</v>
      </c>
      <c r="C35" s="16">
        <f>1163+4956</f>
        <v>6119</v>
      </c>
      <c r="D35" s="82">
        <f>464185.29+2574947.93</f>
        <v>3039133.22</v>
      </c>
      <c r="E35" s="10">
        <f t="shared" si="0"/>
        <v>496.67155090701101</v>
      </c>
      <c r="F35" s="11">
        <f t="shared" si="1"/>
        <v>0.79913804362021679</v>
      </c>
      <c r="G35" s="12">
        <f t="shared" si="6"/>
        <v>6</v>
      </c>
      <c r="H35" s="29">
        <f t="shared" si="7"/>
        <v>2170.0883333333768</v>
      </c>
      <c r="I35" s="31"/>
      <c r="J35" s="35">
        <v>624</v>
      </c>
      <c r="K35" s="75">
        <v>201402.81</v>
      </c>
      <c r="L35" s="10">
        <f t="shared" si="2"/>
        <v>322.76091346153845</v>
      </c>
      <c r="M35" s="11">
        <f t="shared" si="3"/>
        <v>8.1494057724957561E-2</v>
      </c>
      <c r="N35" s="12">
        <f t="shared" si="9"/>
        <v>8</v>
      </c>
      <c r="O35" s="36">
        <f t="shared" si="10"/>
        <v>170.82999999999811</v>
      </c>
      <c r="P35" s="38"/>
      <c r="Q35" s="34">
        <v>676</v>
      </c>
      <c r="R35" s="64">
        <v>347125.23</v>
      </c>
      <c r="S35" s="60">
        <f t="shared" si="4"/>
        <v>513.49886094674548</v>
      </c>
      <c r="T35" s="11">
        <f t="shared" si="5"/>
        <v>8.8285229202037352E-2</v>
      </c>
      <c r="U35" s="14">
        <f t="shared" si="12"/>
        <v>-6</v>
      </c>
      <c r="V35" s="36">
        <f t="shared" si="11"/>
        <v>452.7766666666721</v>
      </c>
      <c r="W35" s="42"/>
    </row>
    <row r="36" spans="2:23" ht="12" customHeight="1" x14ac:dyDescent="0.25">
      <c r="B36" s="15">
        <f t="shared" si="8"/>
        <v>24</v>
      </c>
      <c r="C36" s="16">
        <f>5190+1005</f>
        <v>6195</v>
      </c>
      <c r="D36" s="82">
        <f>411912.28+2701525.03</f>
        <v>3113437.3099999996</v>
      </c>
      <c r="E36" s="10">
        <f t="shared" si="0"/>
        <v>502.57260855528648</v>
      </c>
      <c r="F36" s="11">
        <f t="shared" si="1"/>
        <v>0.80906360193287186</v>
      </c>
      <c r="G36" s="12">
        <f t="shared" si="6"/>
        <v>76</v>
      </c>
      <c r="H36" s="29">
        <f t="shared" si="7"/>
        <v>977.68539473683404</v>
      </c>
      <c r="I36" s="31"/>
      <c r="J36" s="35">
        <v>658</v>
      </c>
      <c r="K36" s="75">
        <v>221343.1</v>
      </c>
      <c r="L36" s="10">
        <f t="shared" si="2"/>
        <v>336.38768996960488</v>
      </c>
      <c r="M36" s="11">
        <f t="shared" si="3"/>
        <v>8.593443907535589E-2</v>
      </c>
      <c r="N36" s="12">
        <f t="shared" si="9"/>
        <v>34</v>
      </c>
      <c r="O36" s="36">
        <f t="shared" si="10"/>
        <v>586.47911764705907</v>
      </c>
      <c r="P36" s="38"/>
      <c r="Q36" s="34">
        <v>702</v>
      </c>
      <c r="R36" s="64">
        <v>364100.28</v>
      </c>
      <c r="S36" s="60">
        <f t="shared" si="4"/>
        <v>518.66136752136754</v>
      </c>
      <c r="T36" s="11">
        <f t="shared" si="5"/>
        <v>9.1680814940577254E-2</v>
      </c>
      <c r="U36" s="14">
        <f t="shared" si="12"/>
        <v>26</v>
      </c>
      <c r="V36" s="36">
        <f t="shared" si="11"/>
        <v>652.88653846154023</v>
      </c>
      <c r="W36" s="42"/>
    </row>
    <row r="37" spans="2:23" ht="12" customHeight="1" x14ac:dyDescent="0.25">
      <c r="B37" s="15">
        <f t="shared" si="8"/>
        <v>25</v>
      </c>
      <c r="C37" s="16">
        <f>5427+835</f>
        <v>6262</v>
      </c>
      <c r="D37" s="82">
        <f>343998.14+2833555.55</f>
        <v>3177553.69</v>
      </c>
      <c r="E37" s="10">
        <f t="shared" si="0"/>
        <v>507.43431651229639</v>
      </c>
      <c r="F37" s="11">
        <f t="shared" si="1"/>
        <v>0.81781376518218618</v>
      </c>
      <c r="G37" s="12">
        <f t="shared" si="6"/>
        <v>67</v>
      </c>
      <c r="H37" s="29">
        <f t="shared" si="7"/>
        <v>956.96089552239334</v>
      </c>
      <c r="I37" s="31"/>
      <c r="J37" s="35">
        <v>675</v>
      </c>
      <c r="K37" s="75">
        <v>230353.1</v>
      </c>
      <c r="L37" s="10">
        <f t="shared" si="2"/>
        <v>341.26385185185188</v>
      </c>
      <c r="M37" s="11">
        <f t="shared" si="3"/>
        <v>8.8154629750555047E-2</v>
      </c>
      <c r="N37" s="12">
        <f t="shared" si="9"/>
        <v>17</v>
      </c>
      <c r="O37" s="36">
        <f t="shared" si="10"/>
        <v>530</v>
      </c>
      <c r="P37" s="38"/>
      <c r="Q37" s="34">
        <v>703</v>
      </c>
      <c r="R37" s="64">
        <v>365200.28</v>
      </c>
      <c r="S37" s="60">
        <f t="shared" si="4"/>
        <v>519.48830725462312</v>
      </c>
      <c r="T37" s="11">
        <f t="shared" si="5"/>
        <v>9.1811414392059559E-2</v>
      </c>
      <c r="U37" s="14">
        <f t="shared" si="12"/>
        <v>1</v>
      </c>
      <c r="V37" s="36">
        <f t="shared" si="11"/>
        <v>1100</v>
      </c>
      <c r="W37" s="42"/>
    </row>
    <row r="38" spans="2:23" ht="12" customHeight="1" x14ac:dyDescent="0.25">
      <c r="B38" s="15">
        <f t="shared" si="8"/>
        <v>26</v>
      </c>
      <c r="C38" s="16">
        <f>5659+719</f>
        <v>6378</v>
      </c>
      <c r="D38" s="82">
        <f>2958394.5+299424.47</f>
        <v>3257818.9699999997</v>
      </c>
      <c r="E38" s="10">
        <f t="shared" si="0"/>
        <v>510.79005487613665</v>
      </c>
      <c r="F38" s="11">
        <f t="shared" si="1"/>
        <v>0.83296330155413345</v>
      </c>
      <c r="G38" s="12">
        <f t="shared" si="6"/>
        <v>116</v>
      </c>
      <c r="H38" s="36">
        <f t="shared" si="7"/>
        <v>691.94206896551543</v>
      </c>
      <c r="I38" s="31"/>
      <c r="J38" s="35">
        <v>700</v>
      </c>
      <c r="K38" s="75">
        <v>238307.11</v>
      </c>
      <c r="L38" s="10">
        <f t="shared" si="2"/>
        <v>340.43872857142856</v>
      </c>
      <c r="M38" s="11">
        <f t="shared" si="3"/>
        <v>9.1419616037612644E-2</v>
      </c>
      <c r="N38" s="12">
        <f t="shared" si="9"/>
        <v>25</v>
      </c>
      <c r="O38" s="36">
        <f t="shared" si="10"/>
        <v>318.16039999999919</v>
      </c>
      <c r="P38" s="38"/>
      <c r="Q38" s="34">
        <v>712</v>
      </c>
      <c r="R38" s="64">
        <v>369325.26</v>
      </c>
      <c r="S38" s="60">
        <f t="shared" si="4"/>
        <v>518.71525280898879</v>
      </c>
      <c r="T38" s="11">
        <f t="shared" si="5"/>
        <v>9.2986809455400291E-2</v>
      </c>
      <c r="U38" s="14">
        <f t="shared" si="12"/>
        <v>9</v>
      </c>
      <c r="V38" s="36">
        <f t="shared" si="11"/>
        <v>458.33111111110907</v>
      </c>
      <c r="W38" s="42"/>
    </row>
    <row r="39" spans="2:23" ht="12" customHeight="1" x14ac:dyDescent="0.25">
      <c r="B39" s="15">
        <f t="shared" si="8"/>
        <v>27</v>
      </c>
      <c r="C39" s="16">
        <f>530+5874</f>
        <v>6404</v>
      </c>
      <c r="D39" s="82">
        <f>3086777.38+219348.12</f>
        <v>3306125.5</v>
      </c>
      <c r="E39" s="10">
        <f t="shared" si="0"/>
        <v>516.25944722048723</v>
      </c>
      <c r="F39" s="11">
        <f t="shared" si="1"/>
        <v>0.83635888729267338</v>
      </c>
      <c r="G39" s="12">
        <f t="shared" si="6"/>
        <v>26</v>
      </c>
      <c r="H39" s="36">
        <f t="shared" si="7"/>
        <v>1857.9434615384716</v>
      </c>
      <c r="I39" s="31"/>
      <c r="J39" s="35">
        <v>769</v>
      </c>
      <c r="K39" s="75">
        <v>303889.61</v>
      </c>
      <c r="L39" s="10">
        <f t="shared" si="2"/>
        <v>395.17504551365408</v>
      </c>
      <c r="M39" s="11">
        <f t="shared" si="3"/>
        <v>0.10043097818989161</v>
      </c>
      <c r="N39" s="12">
        <f t="shared" si="9"/>
        <v>69</v>
      </c>
      <c r="O39" s="36">
        <f>(K39-K38)/N39</f>
        <v>950.47101449275362</v>
      </c>
      <c r="P39" s="38"/>
      <c r="Q39" s="34">
        <v>717</v>
      </c>
      <c r="R39" s="64">
        <v>371436.94</v>
      </c>
      <c r="S39" s="60">
        <f t="shared" si="4"/>
        <v>518.04315202231521</v>
      </c>
      <c r="T39" s="11">
        <f t="shared" si="5"/>
        <v>9.3639806712811802E-2</v>
      </c>
      <c r="U39" s="14">
        <f t="shared" si="12"/>
        <v>5</v>
      </c>
      <c r="V39" s="36">
        <f t="shared" si="11"/>
        <v>422.33599999999859</v>
      </c>
      <c r="W39" s="42"/>
    </row>
    <row r="40" spans="2:23" ht="12" customHeight="1" x14ac:dyDescent="0.25">
      <c r="B40" s="15">
        <f t="shared" si="8"/>
        <v>28</v>
      </c>
      <c r="C40" s="16">
        <f>358+6098</f>
        <v>6456</v>
      </c>
      <c r="D40" s="82">
        <f>143980.9+3216998.84</f>
        <v>3360979.7399999998</v>
      </c>
      <c r="E40" s="10">
        <f t="shared" si="0"/>
        <v>520.5978531598513</v>
      </c>
      <c r="F40" s="11">
        <f t="shared" si="1"/>
        <v>0.84315005876975313</v>
      </c>
      <c r="G40" s="12">
        <f t="shared" si="6"/>
        <v>52</v>
      </c>
      <c r="H40" s="36">
        <f>(D40-D39)/G40</f>
        <v>1054.8892307692261</v>
      </c>
      <c r="I40" s="31"/>
      <c r="J40" s="35">
        <v>823</v>
      </c>
      <c r="K40" s="75">
        <v>324156.61</v>
      </c>
      <c r="L40" s="10">
        <f t="shared" si="2"/>
        <v>393.87194410692587</v>
      </c>
      <c r="M40" s="11">
        <f t="shared" si="3"/>
        <v>0.10748334856993601</v>
      </c>
      <c r="N40" s="12">
        <f t="shared" si="9"/>
        <v>54</v>
      </c>
      <c r="O40" s="36">
        <f t="shared" si="10"/>
        <v>375.31481481481484</v>
      </c>
      <c r="P40" s="38"/>
      <c r="Q40" s="34">
        <v>750</v>
      </c>
      <c r="R40" s="64">
        <v>415302.56</v>
      </c>
      <c r="S40" s="60">
        <f t="shared" si="4"/>
        <v>553.7367466666667</v>
      </c>
      <c r="T40" s="11">
        <f t="shared" si="5"/>
        <v>9.7949588611727825E-2</v>
      </c>
      <c r="U40" s="14">
        <f t="shared" si="12"/>
        <v>33</v>
      </c>
      <c r="V40" s="36">
        <f t="shared" si="11"/>
        <v>1329.2612121212119</v>
      </c>
      <c r="W40" s="42"/>
    </row>
    <row r="41" spans="2:23" ht="12" customHeight="1" x14ac:dyDescent="0.25">
      <c r="B41" s="15">
        <f t="shared" si="8"/>
        <v>29</v>
      </c>
      <c r="C41" s="16">
        <f>184+6293</f>
        <v>6477</v>
      </c>
      <c r="D41" s="82">
        <f>72569.12+3311815.03</f>
        <v>3384384.15</v>
      </c>
      <c r="E41" s="10">
        <f t="shared" si="0"/>
        <v>522.52341361741549</v>
      </c>
      <c r="F41" s="11">
        <f t="shared" si="1"/>
        <v>0.84589264725088154</v>
      </c>
      <c r="G41" s="12">
        <f t="shared" si="6"/>
        <v>21</v>
      </c>
      <c r="H41" s="29">
        <f>(D41-D40)/G41</f>
        <v>1114.4957142857213</v>
      </c>
      <c r="I41" s="31">
        <v>0</v>
      </c>
      <c r="J41" s="35">
        <v>829</v>
      </c>
      <c r="K41" s="75">
        <v>325856.61</v>
      </c>
      <c r="L41" s="10">
        <f t="shared" si="2"/>
        <v>393.07190591073584</v>
      </c>
      <c r="M41" s="11">
        <f t="shared" si="3"/>
        <v>0.10826694527882982</v>
      </c>
      <c r="N41" s="12">
        <f t="shared" si="9"/>
        <v>6</v>
      </c>
      <c r="O41" s="36">
        <f t="shared" si="10"/>
        <v>283.33333333333331</v>
      </c>
      <c r="P41" s="38"/>
      <c r="Q41" s="34">
        <v>757</v>
      </c>
      <c r="R41" s="64">
        <v>419885.9</v>
      </c>
      <c r="S41" s="60">
        <f t="shared" si="4"/>
        <v>554.67093791281377</v>
      </c>
      <c r="T41" s="11">
        <f t="shared" si="5"/>
        <v>9.886378477210396E-2</v>
      </c>
      <c r="U41" s="14">
        <f t="shared" si="12"/>
        <v>7</v>
      </c>
      <c r="V41" s="36">
        <f t="shared" si="11"/>
        <v>654.76285714286075</v>
      </c>
      <c r="W41" s="42"/>
    </row>
    <row r="42" spans="2:23" ht="12" customHeight="1" x14ac:dyDescent="0.25">
      <c r="B42" s="15">
        <v>30</v>
      </c>
      <c r="C42" s="16">
        <f>6405+67</f>
        <v>6472</v>
      </c>
      <c r="D42" s="82">
        <f>3381031.81+26057.9</f>
        <v>3407089.71</v>
      </c>
      <c r="E42" s="111">
        <f t="shared" si="0"/>
        <v>526.43536928306548</v>
      </c>
      <c r="F42" s="112">
        <f t="shared" si="1"/>
        <v>0.84523964999347001</v>
      </c>
      <c r="G42" s="113">
        <f t="shared" si="6"/>
        <v>-5</v>
      </c>
      <c r="H42" s="114">
        <f t="shared" si="7"/>
        <v>-4541.112000000011</v>
      </c>
      <c r="I42" s="115"/>
      <c r="J42" s="35">
        <v>792</v>
      </c>
      <c r="K42" s="116">
        <v>314254.11</v>
      </c>
      <c r="L42" s="111">
        <f t="shared" si="2"/>
        <v>396.78549242424242</v>
      </c>
      <c r="M42" s="112">
        <f t="shared" si="3"/>
        <v>0.10343476557398459</v>
      </c>
      <c r="N42" s="113">
        <f t="shared" si="9"/>
        <v>-37</v>
      </c>
      <c r="O42" s="117">
        <f t="shared" si="10"/>
        <v>313.58108108108109</v>
      </c>
      <c r="P42" s="118"/>
      <c r="Q42" s="35">
        <v>777</v>
      </c>
      <c r="R42" s="119">
        <v>441709.2</v>
      </c>
      <c r="S42" s="120">
        <f t="shared" si="4"/>
        <v>568.48030888030894</v>
      </c>
      <c r="T42" s="112">
        <f t="shared" si="5"/>
        <v>0.10147577380175003</v>
      </c>
      <c r="U42" s="121">
        <f t="shared" si="12"/>
        <v>20</v>
      </c>
      <c r="V42" s="117">
        <f t="shared" si="11"/>
        <v>1091.1649999999995</v>
      </c>
      <c r="W42" s="42"/>
    </row>
    <row r="43" spans="2:23" ht="11.25" customHeight="1" thickBot="1" x14ac:dyDescent="0.3">
      <c r="B43" s="17">
        <v>31</v>
      </c>
      <c r="C43" s="18">
        <v>6483</v>
      </c>
      <c r="D43" s="88">
        <v>3418422.7</v>
      </c>
      <c r="E43" s="19">
        <f t="shared" si="0"/>
        <v>527.2902514268086</v>
      </c>
      <c r="F43" s="20">
        <f t="shared" si="1"/>
        <v>0.84667624395977537</v>
      </c>
      <c r="G43" s="89">
        <f t="shared" si="6"/>
        <v>11</v>
      </c>
      <c r="H43" s="90">
        <f t="shared" si="7"/>
        <v>1030.2718181818384</v>
      </c>
      <c r="I43" s="32"/>
      <c r="J43" s="37">
        <v>843</v>
      </c>
      <c r="K43" s="80">
        <v>329062.27</v>
      </c>
      <c r="L43" s="19">
        <f t="shared" si="2"/>
        <v>390.34670225385531</v>
      </c>
      <c r="M43" s="20">
        <f t="shared" si="3"/>
        <v>0.11009533759958208</v>
      </c>
      <c r="N43" s="89">
        <f t="shared" si="9"/>
        <v>51</v>
      </c>
      <c r="O43" s="91">
        <f t="shared" si="10"/>
        <v>290.35607843137319</v>
      </c>
      <c r="P43" s="39"/>
      <c r="Q43" s="37">
        <v>773</v>
      </c>
      <c r="R43" s="88">
        <v>436775.88</v>
      </c>
      <c r="S43" s="92">
        <f t="shared" si="4"/>
        <v>565.03994825355755</v>
      </c>
      <c r="T43" s="20">
        <f t="shared" si="5"/>
        <v>0.10095337599582081</v>
      </c>
      <c r="U43" s="93">
        <f t="shared" si="12"/>
        <v>-4</v>
      </c>
      <c r="V43" s="91">
        <f t="shared" si="11"/>
        <v>1233.3300000000017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</sheetData>
  <mergeCells count="15">
    <mergeCell ref="N3:Q3"/>
    <mergeCell ref="N4:Q4"/>
    <mergeCell ref="R3:V3"/>
    <mergeCell ref="R4:V4"/>
    <mergeCell ref="B10:V10"/>
    <mergeCell ref="B5:W5"/>
    <mergeCell ref="B6:H6"/>
    <mergeCell ref="J6:O6"/>
    <mergeCell ref="Q6:V6"/>
    <mergeCell ref="F8:G8"/>
    <mergeCell ref="H8:I8"/>
    <mergeCell ref="M8:N8"/>
    <mergeCell ref="O8:P8"/>
    <mergeCell ref="T8:U8"/>
    <mergeCell ref="V8:W8"/>
  </mergeCells>
  <phoneticPr fontId="0" type="noConversion"/>
  <pageMargins left="0.75" right="0.64" top="0.9" bottom="0.68" header="0.5" footer="0.5"/>
  <pageSetup scale="9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4"/>
  <sheetViews>
    <sheetView topLeftCell="B1" zoomScaleNormal="100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42578125" style="81" customWidth="1"/>
    <col min="19" max="19" width="8.5703125" style="1" customWidth="1"/>
    <col min="20" max="20" width="7.42578125" style="1" customWidth="1"/>
    <col min="21" max="21" width="4" style="1" customWidth="1"/>
    <col min="22" max="22" width="7.140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5" ht="30.75" customHeight="1" x14ac:dyDescent="0.25"/>
    <row r="3" spans="1:25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26</v>
      </c>
      <c r="C6" s="139"/>
      <c r="D6" s="139"/>
      <c r="E6" s="139"/>
      <c r="F6" s="139"/>
      <c r="G6" s="139"/>
      <c r="H6" s="140"/>
      <c r="I6" s="104"/>
      <c r="J6" s="141" t="s">
        <v>16</v>
      </c>
      <c r="K6" s="142"/>
      <c r="L6" s="142"/>
      <c r="M6" s="142"/>
      <c r="N6" s="142"/>
      <c r="O6" s="143"/>
      <c r="P6" s="104"/>
      <c r="Q6" s="141" t="s">
        <v>17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3865</v>
      </c>
      <c r="F7" s="25"/>
      <c r="G7" s="13" t="s">
        <v>6</v>
      </c>
      <c r="H7" s="94">
        <v>458.31</v>
      </c>
      <c r="I7" s="67"/>
      <c r="J7" s="24" t="s">
        <v>12</v>
      </c>
      <c r="K7" s="76"/>
      <c r="L7" s="13">
        <v>5585</v>
      </c>
      <c r="M7" s="25"/>
      <c r="N7" s="13" t="s">
        <v>6</v>
      </c>
      <c r="O7" s="95">
        <v>671.84</v>
      </c>
      <c r="P7" s="96"/>
      <c r="Q7" s="24" t="s">
        <v>12</v>
      </c>
      <c r="R7" s="76"/>
      <c r="S7" s="13">
        <v>6895</v>
      </c>
      <c r="T7" s="25"/>
      <c r="U7" s="13" t="s">
        <v>6</v>
      </c>
      <c r="V7" s="95">
        <v>808.89</v>
      </c>
      <c r="W7" s="96"/>
    </row>
    <row r="8" spans="1:25" ht="12" customHeight="1" x14ac:dyDescent="0.3">
      <c r="B8" s="2"/>
      <c r="C8" s="6" t="s">
        <v>5</v>
      </c>
      <c r="D8" s="77"/>
      <c r="E8" s="22">
        <v>0.505</v>
      </c>
      <c r="F8" s="128" t="s">
        <v>7</v>
      </c>
      <c r="G8" s="129"/>
      <c r="H8" s="153">
        <v>1771375</v>
      </c>
      <c r="I8" s="154"/>
      <c r="J8" s="6" t="s">
        <v>5</v>
      </c>
      <c r="K8" s="77"/>
      <c r="L8" s="22">
        <v>0.754</v>
      </c>
      <c r="M8" s="128" t="s">
        <v>7</v>
      </c>
      <c r="N8" s="129"/>
      <c r="O8" s="153">
        <v>3752250</v>
      </c>
      <c r="P8" s="154"/>
      <c r="Q8" s="6" t="s">
        <v>5</v>
      </c>
      <c r="R8" s="77"/>
      <c r="S8" s="22">
        <v>0.9</v>
      </c>
      <c r="T8" s="128" t="s">
        <v>7</v>
      </c>
      <c r="U8" s="144"/>
      <c r="V8" s="153">
        <v>5577300</v>
      </c>
      <c r="W8" s="154"/>
    </row>
    <row r="9" spans="1:25" ht="11.25" customHeight="1" x14ac:dyDescent="0.3">
      <c r="B9" s="2"/>
      <c r="C9" s="6" t="s">
        <v>11</v>
      </c>
      <c r="D9" s="77"/>
      <c r="E9" s="7">
        <v>7657</v>
      </c>
      <c r="F9" s="3"/>
      <c r="G9" s="3"/>
      <c r="H9" s="59"/>
      <c r="I9" s="4"/>
      <c r="J9" s="6" t="s">
        <v>11</v>
      </c>
      <c r="K9" s="77"/>
      <c r="L9" s="7">
        <v>7410</v>
      </c>
      <c r="M9" s="3"/>
      <c r="N9" s="3"/>
      <c r="O9" s="59"/>
      <c r="P9" s="66"/>
      <c r="Q9" s="6" t="s">
        <v>11</v>
      </c>
      <c r="R9" s="77"/>
      <c r="S9" s="7">
        <v>7657</v>
      </c>
      <c r="T9" s="3"/>
      <c r="U9" s="3"/>
      <c r="V9" s="97"/>
      <c r="W9" s="98"/>
    </row>
    <row r="10" spans="1:25" ht="17.25" customHeight="1" x14ac:dyDescent="0.3">
      <c r="B10" s="155" t="s">
        <v>34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7"/>
      <c r="W10" s="74"/>
      <c r="X10" s="69"/>
      <c r="Y10" s="56"/>
    </row>
    <row r="11" spans="1:25" ht="39" customHeight="1" x14ac:dyDescent="0.25">
      <c r="B11" s="99" t="s">
        <v>0</v>
      </c>
      <c r="C11" s="71" t="s">
        <v>1</v>
      </c>
      <c r="D11" s="87" t="s">
        <v>8</v>
      </c>
      <c r="E11" s="71" t="s">
        <v>2</v>
      </c>
      <c r="F11" s="71" t="s">
        <v>3</v>
      </c>
      <c r="G11" s="71" t="s">
        <v>4</v>
      </c>
      <c r="H11" s="100" t="s">
        <v>9</v>
      </c>
      <c r="I11" s="101"/>
      <c r="J11" s="70" t="s">
        <v>1</v>
      </c>
      <c r="K11" s="87" t="s">
        <v>8</v>
      </c>
      <c r="L11" s="71" t="s">
        <v>2</v>
      </c>
      <c r="M11" s="71" t="s">
        <v>3</v>
      </c>
      <c r="N11" s="71" t="s">
        <v>4</v>
      </c>
      <c r="O11" s="100" t="s">
        <v>9</v>
      </c>
      <c r="P11" s="101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/>
      <c r="D12" s="110"/>
      <c r="E12" s="106"/>
      <c r="F12" s="106"/>
      <c r="G12" s="106"/>
      <c r="H12" s="107"/>
      <c r="I12" s="108"/>
      <c r="J12" s="109"/>
      <c r="K12" s="110"/>
      <c r="L12" s="106"/>
      <c r="M12" s="106"/>
      <c r="N12" s="106"/>
      <c r="O12" s="107"/>
      <c r="P12" s="108"/>
      <c r="Q12" s="109"/>
      <c r="R12" s="110"/>
      <c r="S12" s="106"/>
      <c r="T12" s="106"/>
      <c r="U12" s="107"/>
      <c r="V12" s="107"/>
      <c r="W12" s="41"/>
    </row>
    <row r="13" spans="1:25" ht="11.25" customHeight="1" x14ac:dyDescent="0.25">
      <c r="B13" s="8">
        <v>1</v>
      </c>
      <c r="C13" s="9">
        <f>994+69</f>
        <v>1063</v>
      </c>
      <c r="D13" s="75">
        <f>351813.3+33067.34</f>
        <v>384880.64000000001</v>
      </c>
      <c r="E13" s="10">
        <f t="shared" ref="E13:E43" si="0">D13/C13</f>
        <v>362.07021636876766</v>
      </c>
      <c r="F13" s="11">
        <f t="shared" ref="F13:F43" si="1">C13/$E$9</f>
        <v>0.13882721692568892</v>
      </c>
      <c r="G13" s="12">
        <v>220</v>
      </c>
      <c r="H13" s="29">
        <v>253.71</v>
      </c>
      <c r="I13" s="31"/>
      <c r="J13" s="52">
        <v>802</v>
      </c>
      <c r="K13" s="79">
        <v>453872.87</v>
      </c>
      <c r="L13" s="10">
        <f t="shared" ref="L13:L43" si="2">K13/J13</f>
        <v>565.92627182044885</v>
      </c>
      <c r="M13" s="11">
        <f t="shared" ref="M13:M43" si="3">J13/$L$9</f>
        <v>0.10823211875843455</v>
      </c>
      <c r="N13" s="12">
        <v>29</v>
      </c>
      <c r="O13" s="36">
        <v>589.54999999999995</v>
      </c>
      <c r="P13" s="38"/>
      <c r="Q13" s="34">
        <v>1117</v>
      </c>
      <c r="R13" s="64">
        <v>608786.69999999995</v>
      </c>
      <c r="S13" s="60">
        <f t="shared" ref="S13:S43" si="4">R13/Q13</f>
        <v>545.01942703670545</v>
      </c>
      <c r="T13" s="11">
        <f t="shared" ref="T13:T43" si="5">Q13/$S$9</f>
        <v>0.1458795873057333</v>
      </c>
      <c r="U13" s="14">
        <v>5</v>
      </c>
      <c r="V13" s="36">
        <v>391.67</v>
      </c>
      <c r="W13" s="42"/>
    </row>
    <row r="14" spans="1:25" ht="12" customHeight="1" x14ac:dyDescent="0.25">
      <c r="B14" s="15">
        <f>B13+1</f>
        <v>2</v>
      </c>
      <c r="C14" s="16">
        <f>141+1004</f>
        <v>1145</v>
      </c>
      <c r="D14" s="75">
        <f>66369.51+348721.59</f>
        <v>415091.10000000003</v>
      </c>
      <c r="E14" s="10">
        <f t="shared" si="0"/>
        <v>362.52497816593888</v>
      </c>
      <c r="F14" s="11">
        <f t="shared" si="1"/>
        <v>0.14953637194723782</v>
      </c>
      <c r="G14" s="12">
        <f t="shared" ref="G14:G43" si="6">(C14-C13)</f>
        <v>82</v>
      </c>
      <c r="H14" s="29">
        <f t="shared" ref="H14:H43" si="7">(D14-D13)/G14</f>
        <v>368.42024390243927</v>
      </c>
      <c r="I14" s="31"/>
      <c r="J14" s="35">
        <v>869</v>
      </c>
      <c r="K14" s="75">
        <v>469138.21</v>
      </c>
      <c r="L14" s="10">
        <f t="shared" si="2"/>
        <v>539.85985040276182</v>
      </c>
      <c r="M14" s="11">
        <f t="shared" si="3"/>
        <v>0.11727395411605938</v>
      </c>
      <c r="N14" s="12">
        <f t="shared" ref="N14:N43" si="8">(J14-J13)</f>
        <v>67</v>
      </c>
      <c r="O14" s="36">
        <f>-(K14-K13)/-N14</f>
        <v>227.84089552238845</v>
      </c>
      <c r="P14" s="38"/>
      <c r="Q14" s="34">
        <v>1131</v>
      </c>
      <c r="R14" s="75">
        <v>615270.07999999996</v>
      </c>
      <c r="S14" s="10">
        <f t="shared" si="4"/>
        <v>544.00537577365162</v>
      </c>
      <c r="T14" s="11">
        <f t="shared" si="5"/>
        <v>0.14770797962648557</v>
      </c>
      <c r="U14" s="14">
        <f t="shared" ref="U14:U43" si="9">Q14-Q13</f>
        <v>14</v>
      </c>
      <c r="V14" s="36">
        <f t="shared" ref="V14:V19" si="10">(R14-R13)/U14</f>
        <v>463.09857142857174</v>
      </c>
      <c r="W14" s="42"/>
    </row>
    <row r="15" spans="1:25" ht="12" customHeight="1" x14ac:dyDescent="0.25">
      <c r="B15" s="15">
        <f>B14+1</f>
        <v>3</v>
      </c>
      <c r="C15" s="16">
        <f>1004+207</f>
        <v>1211</v>
      </c>
      <c r="D15" s="75">
        <f>96505.91+354361.33</f>
        <v>450867.24</v>
      </c>
      <c r="E15" s="10">
        <f t="shared" si="0"/>
        <v>372.30985962014864</v>
      </c>
      <c r="F15" s="11">
        <f t="shared" si="1"/>
        <v>0.15815593574506986</v>
      </c>
      <c r="G15" s="12">
        <f t="shared" si="6"/>
        <v>66</v>
      </c>
      <c r="H15" s="29">
        <f t="shared" si="7"/>
        <v>542.06272727272665</v>
      </c>
      <c r="I15" s="31"/>
      <c r="J15" s="35">
        <v>876</v>
      </c>
      <c r="K15" s="75">
        <v>477488.21</v>
      </c>
      <c r="L15" s="10">
        <f t="shared" si="2"/>
        <v>545.07786529680368</v>
      </c>
      <c r="M15" s="11">
        <f t="shared" si="3"/>
        <v>0.11821862348178137</v>
      </c>
      <c r="N15" s="12">
        <f t="shared" si="8"/>
        <v>7</v>
      </c>
      <c r="O15" s="36">
        <f>-(K15-K14)/-N15</f>
        <v>1192.8571428571429</v>
      </c>
      <c r="P15" s="38"/>
      <c r="Q15" s="34">
        <v>1125</v>
      </c>
      <c r="R15" s="64">
        <v>612152.11</v>
      </c>
      <c r="S15" s="60">
        <f t="shared" si="4"/>
        <v>544.13520888888888</v>
      </c>
      <c r="T15" s="11">
        <f t="shared" si="5"/>
        <v>0.14692438291759174</v>
      </c>
      <c r="U15" s="14">
        <f t="shared" si="9"/>
        <v>-6</v>
      </c>
      <c r="V15" s="36">
        <f t="shared" si="10"/>
        <v>519.66166666666197</v>
      </c>
      <c r="W15" s="42"/>
    </row>
    <row r="16" spans="1:25" ht="12" customHeight="1" x14ac:dyDescent="0.25">
      <c r="B16" s="15">
        <v>4</v>
      </c>
      <c r="C16" s="16">
        <f>1016+270</f>
        <v>1286</v>
      </c>
      <c r="D16" s="75">
        <f>360547.82+122896.3</f>
        <v>483444.12</v>
      </c>
      <c r="E16" s="10">
        <f t="shared" si="0"/>
        <v>375.92855365474338</v>
      </c>
      <c r="F16" s="11">
        <f t="shared" si="1"/>
        <v>0.16795089460624266</v>
      </c>
      <c r="G16" s="12">
        <f t="shared" si="6"/>
        <v>75</v>
      </c>
      <c r="H16" s="29">
        <f t="shared" si="7"/>
        <v>434.35840000000007</v>
      </c>
      <c r="I16" s="31"/>
      <c r="J16" s="35">
        <v>900</v>
      </c>
      <c r="K16" s="75">
        <v>490000.87</v>
      </c>
      <c r="L16" s="10">
        <f t="shared" si="2"/>
        <v>544.44541111111107</v>
      </c>
      <c r="M16" s="11">
        <f t="shared" si="3"/>
        <v>0.1214574898785425</v>
      </c>
      <c r="N16" s="12">
        <f t="shared" si="8"/>
        <v>24</v>
      </c>
      <c r="O16" s="36">
        <f>-(K16-K15)/-N16</f>
        <v>521.36083333333227</v>
      </c>
      <c r="P16" s="38"/>
      <c r="Q16" s="34">
        <v>1221</v>
      </c>
      <c r="R16" s="64">
        <v>667561.78</v>
      </c>
      <c r="S16" s="60">
        <f t="shared" si="4"/>
        <v>546.73364455364458</v>
      </c>
      <c r="T16" s="11">
        <f t="shared" si="5"/>
        <v>0.15946193025989291</v>
      </c>
      <c r="U16" s="14">
        <f t="shared" si="9"/>
        <v>96</v>
      </c>
      <c r="V16" s="36">
        <f t="shared" si="10"/>
        <v>577.18406250000044</v>
      </c>
      <c r="W16" s="42"/>
    </row>
    <row r="17" spans="2:23" ht="12" customHeight="1" x14ac:dyDescent="0.25">
      <c r="B17" s="15">
        <f t="shared" ref="B17:B41" si="11">B16+1</f>
        <v>5</v>
      </c>
      <c r="C17" s="16">
        <f>336+975</f>
        <v>1311</v>
      </c>
      <c r="D17" s="82">
        <f>341843.13+151536.08</f>
        <v>493379.20999999996</v>
      </c>
      <c r="E17" s="10">
        <f t="shared" si="0"/>
        <v>376.33807017543859</v>
      </c>
      <c r="F17" s="11">
        <f t="shared" si="1"/>
        <v>0.17121588089330025</v>
      </c>
      <c r="G17" s="12">
        <f t="shared" si="6"/>
        <v>25</v>
      </c>
      <c r="H17" s="29">
        <f t="shared" si="7"/>
        <v>397.40359999999868</v>
      </c>
      <c r="I17" s="31"/>
      <c r="J17" s="35">
        <v>904</v>
      </c>
      <c r="K17" s="75">
        <v>492999.73</v>
      </c>
      <c r="L17" s="10">
        <f t="shared" si="2"/>
        <v>545.35368362831855</v>
      </c>
      <c r="M17" s="11">
        <f t="shared" si="3"/>
        <v>0.12199730094466936</v>
      </c>
      <c r="N17" s="12">
        <f t="shared" si="8"/>
        <v>4</v>
      </c>
      <c r="O17" s="36">
        <f>(K17-K16)/N17</f>
        <v>749.71499999999651</v>
      </c>
      <c r="P17" s="38"/>
      <c r="Q17" s="34">
        <v>1221</v>
      </c>
      <c r="R17" s="64">
        <v>667561.78</v>
      </c>
      <c r="S17" s="60">
        <f t="shared" si="4"/>
        <v>546.73364455364458</v>
      </c>
      <c r="T17" s="11">
        <f t="shared" si="5"/>
        <v>0.15946193025989291</v>
      </c>
      <c r="U17" s="14">
        <f t="shared" si="9"/>
        <v>0</v>
      </c>
      <c r="V17" s="36">
        <v>0</v>
      </c>
      <c r="W17" s="42"/>
    </row>
    <row r="18" spans="2:23" ht="12" customHeight="1" x14ac:dyDescent="0.25">
      <c r="B18" s="15">
        <f t="shared" si="11"/>
        <v>6</v>
      </c>
      <c r="C18" s="16">
        <f>938+385</f>
        <v>1323</v>
      </c>
      <c r="D18" s="82">
        <f>328266.49+175442.85</f>
        <v>503709.33999999997</v>
      </c>
      <c r="E18" s="10">
        <f t="shared" si="0"/>
        <v>380.73268329554043</v>
      </c>
      <c r="F18" s="11">
        <f t="shared" si="1"/>
        <v>0.17278307431108789</v>
      </c>
      <c r="G18" s="12">
        <f t="shared" si="6"/>
        <v>12</v>
      </c>
      <c r="H18" s="29">
        <f t="shared" si="7"/>
        <v>860.84416666666709</v>
      </c>
      <c r="I18" s="31">
        <v>0</v>
      </c>
      <c r="J18" s="35">
        <v>909</v>
      </c>
      <c r="K18" s="75">
        <v>496273.73</v>
      </c>
      <c r="L18" s="10">
        <f t="shared" si="2"/>
        <v>545.95569856985696</v>
      </c>
      <c r="M18" s="11">
        <f t="shared" si="3"/>
        <v>0.12267206477732794</v>
      </c>
      <c r="N18" s="12">
        <f t="shared" si="8"/>
        <v>5</v>
      </c>
      <c r="O18" s="36">
        <f>(K18-K17)/N18</f>
        <v>654.79999999999995</v>
      </c>
      <c r="P18" s="38"/>
      <c r="Q18" s="34">
        <v>1238</v>
      </c>
      <c r="R18" s="64">
        <v>677093.47</v>
      </c>
      <c r="S18" s="60">
        <f t="shared" si="4"/>
        <v>546.92525848142168</v>
      </c>
      <c r="T18" s="11">
        <f t="shared" si="5"/>
        <v>0.16168212093509207</v>
      </c>
      <c r="U18" s="14">
        <f t="shared" si="9"/>
        <v>17</v>
      </c>
      <c r="V18" s="36">
        <f t="shared" si="10"/>
        <v>560.68764705882029</v>
      </c>
      <c r="W18" s="42"/>
    </row>
    <row r="19" spans="2:23" ht="12" customHeight="1" x14ac:dyDescent="0.25">
      <c r="B19" s="15">
        <f t="shared" si="11"/>
        <v>7</v>
      </c>
      <c r="C19" s="16">
        <f>961+431</f>
        <v>1392</v>
      </c>
      <c r="D19" s="82">
        <f>332074.88+199211.37</f>
        <v>531286.25</v>
      </c>
      <c r="E19" s="10">
        <f t="shared" si="0"/>
        <v>381.67115660919541</v>
      </c>
      <c r="F19" s="11">
        <f t="shared" si="1"/>
        <v>0.18179443646336685</v>
      </c>
      <c r="G19" s="12">
        <f t="shared" si="6"/>
        <v>69</v>
      </c>
      <c r="H19" s="29">
        <f t="shared" si="7"/>
        <v>399.66536231884106</v>
      </c>
      <c r="I19" s="31"/>
      <c r="J19" s="35">
        <v>940</v>
      </c>
      <c r="K19" s="75">
        <v>515465.42</v>
      </c>
      <c r="L19" s="10">
        <f t="shared" si="2"/>
        <v>548.36746808510634</v>
      </c>
      <c r="M19" s="11">
        <f t="shared" si="3"/>
        <v>0.12685560053981107</v>
      </c>
      <c r="N19" s="12">
        <f t="shared" si="8"/>
        <v>31</v>
      </c>
      <c r="O19" s="36">
        <f>-(K19-K18)/-N19</f>
        <v>619.08677419354842</v>
      </c>
      <c r="P19" s="38"/>
      <c r="Q19" s="34">
        <v>1241</v>
      </c>
      <c r="R19" s="64">
        <v>678418.48</v>
      </c>
      <c r="S19" s="60">
        <f t="shared" si="4"/>
        <v>546.67081385979043</v>
      </c>
      <c r="T19" s="11">
        <f t="shared" si="5"/>
        <v>0.16207391928953899</v>
      </c>
      <c r="U19" s="14">
        <f t="shared" si="9"/>
        <v>3</v>
      </c>
      <c r="V19" s="36">
        <f t="shared" si="10"/>
        <v>441.67000000000309</v>
      </c>
      <c r="W19" s="42"/>
    </row>
    <row r="20" spans="2:23" ht="12" customHeight="1" x14ac:dyDescent="0.25">
      <c r="B20" s="15">
        <f t="shared" si="11"/>
        <v>8</v>
      </c>
      <c r="C20" s="16">
        <f>955+487</f>
        <v>1442</v>
      </c>
      <c r="D20" s="82">
        <f>324266.95+226301.68</f>
        <v>550568.63</v>
      </c>
      <c r="E20" s="10">
        <f t="shared" si="0"/>
        <v>381.80903606102635</v>
      </c>
      <c r="F20" s="11">
        <f t="shared" si="1"/>
        <v>0.18832440903748204</v>
      </c>
      <c r="G20" s="12">
        <f t="shared" si="6"/>
        <v>50</v>
      </c>
      <c r="H20" s="29">
        <f t="shared" si="7"/>
        <v>385.64760000000007</v>
      </c>
      <c r="I20" s="31"/>
      <c r="J20" s="35">
        <v>897</v>
      </c>
      <c r="K20" s="75">
        <v>491523.05</v>
      </c>
      <c r="L20" s="10">
        <f t="shared" si="2"/>
        <v>547.96326644370117</v>
      </c>
      <c r="M20" s="11">
        <f t="shared" si="3"/>
        <v>0.12105263157894737</v>
      </c>
      <c r="N20" s="12">
        <f t="shared" si="8"/>
        <v>-43</v>
      </c>
      <c r="O20" s="36">
        <f>(K20-K19)/N20</f>
        <v>556.79930232558127</v>
      </c>
      <c r="P20" s="38"/>
      <c r="Q20" s="34">
        <v>1259</v>
      </c>
      <c r="R20" s="64">
        <v>687743.53</v>
      </c>
      <c r="S20" s="60">
        <f t="shared" si="4"/>
        <v>546.26173947577445</v>
      </c>
      <c r="T20" s="11">
        <f t="shared" si="5"/>
        <v>0.16442470941622045</v>
      </c>
      <c r="U20" s="14">
        <f t="shared" si="9"/>
        <v>18</v>
      </c>
      <c r="V20" s="36">
        <f t="shared" ref="V20:V26" si="12">(R20-R19)/U20</f>
        <v>518.0583333333359</v>
      </c>
      <c r="W20" s="42"/>
    </row>
    <row r="21" spans="2:23" ht="12" customHeight="1" x14ac:dyDescent="0.25">
      <c r="B21" s="15">
        <f t="shared" si="11"/>
        <v>9</v>
      </c>
      <c r="C21" s="16">
        <f>931+548</f>
        <v>1479</v>
      </c>
      <c r="D21" s="82">
        <f>305800.05+257145.93</f>
        <v>562945.98</v>
      </c>
      <c r="E21" s="10">
        <f t="shared" si="0"/>
        <v>380.62608519269776</v>
      </c>
      <c r="F21" s="11">
        <f t="shared" si="1"/>
        <v>0.19315658874232727</v>
      </c>
      <c r="G21" s="12">
        <f t="shared" si="6"/>
        <v>37</v>
      </c>
      <c r="H21" s="29">
        <f t="shared" si="7"/>
        <v>334.52297297297235</v>
      </c>
      <c r="I21" s="31"/>
      <c r="J21" s="35">
        <v>915</v>
      </c>
      <c r="K21" s="75">
        <v>503228.08</v>
      </c>
      <c r="L21" s="10">
        <f t="shared" si="2"/>
        <v>549.97604371584703</v>
      </c>
      <c r="M21" s="11">
        <f t="shared" si="3"/>
        <v>0.12348178137651822</v>
      </c>
      <c r="N21" s="12">
        <f t="shared" si="8"/>
        <v>18</v>
      </c>
      <c r="O21" s="36">
        <f t="shared" ref="O21:O43" si="13">(K21-K20)/N21</f>
        <v>650.27944444444597</v>
      </c>
      <c r="P21" s="38"/>
      <c r="Q21" s="34">
        <v>1265</v>
      </c>
      <c r="R21" s="64">
        <v>690393.55</v>
      </c>
      <c r="S21" s="60">
        <f t="shared" si="4"/>
        <v>545.76565217391305</v>
      </c>
      <c r="T21" s="11">
        <f t="shared" si="5"/>
        <v>0.16520830612511428</v>
      </c>
      <c r="U21" s="14">
        <f t="shared" si="9"/>
        <v>6</v>
      </c>
      <c r="V21" s="36">
        <f t="shared" si="12"/>
        <v>441.67000000000309</v>
      </c>
      <c r="W21" s="42"/>
    </row>
    <row r="22" spans="2:23" ht="12" customHeight="1" x14ac:dyDescent="0.25">
      <c r="B22" s="15">
        <f t="shared" si="11"/>
        <v>10</v>
      </c>
      <c r="C22" s="16">
        <f>944+608</f>
        <v>1552</v>
      </c>
      <c r="D22" s="82">
        <f>287688.56+298211.18</f>
        <v>585899.74</v>
      </c>
      <c r="E22" s="10">
        <f t="shared" si="0"/>
        <v>377.51271907216494</v>
      </c>
      <c r="F22" s="11">
        <f t="shared" si="1"/>
        <v>0.20269034870053546</v>
      </c>
      <c r="G22" s="12">
        <f t="shared" si="6"/>
        <v>73</v>
      </c>
      <c r="H22" s="29">
        <f t="shared" si="7"/>
        <v>314.43506849315082</v>
      </c>
      <c r="I22" s="31"/>
      <c r="J22" s="35">
        <v>979</v>
      </c>
      <c r="K22" s="75">
        <v>538416.81000000006</v>
      </c>
      <c r="L22" s="10">
        <f t="shared" si="2"/>
        <v>549.96609805924413</v>
      </c>
      <c r="M22" s="11">
        <f t="shared" si="3"/>
        <v>0.1321187584345479</v>
      </c>
      <c r="N22" s="12">
        <f t="shared" si="8"/>
        <v>64</v>
      </c>
      <c r="O22" s="36">
        <f t="shared" si="13"/>
        <v>549.82390625000062</v>
      </c>
      <c r="P22" s="38"/>
      <c r="Q22" s="34">
        <v>1278</v>
      </c>
      <c r="R22" s="64">
        <v>697160.18</v>
      </c>
      <c r="S22" s="60">
        <f t="shared" si="4"/>
        <v>545.50874804381851</v>
      </c>
      <c r="T22" s="11">
        <f t="shared" si="5"/>
        <v>0.16690609899438422</v>
      </c>
      <c r="U22" s="14">
        <f t="shared" si="9"/>
        <v>13</v>
      </c>
      <c r="V22" s="36">
        <f t="shared" si="12"/>
        <v>520.51000000000033</v>
      </c>
      <c r="W22" s="42"/>
    </row>
    <row r="23" spans="2:23" ht="12" customHeight="1" x14ac:dyDescent="0.25">
      <c r="B23" s="15">
        <f t="shared" si="11"/>
        <v>11</v>
      </c>
      <c r="C23" s="16">
        <f>682+925</f>
        <v>1607</v>
      </c>
      <c r="D23" s="82">
        <f>304446.23+324106.01</f>
        <v>628552.24</v>
      </c>
      <c r="E23" s="10">
        <f t="shared" si="0"/>
        <v>391.13393901680149</v>
      </c>
      <c r="F23" s="11">
        <f t="shared" si="1"/>
        <v>0.20987331853206218</v>
      </c>
      <c r="G23" s="12">
        <f t="shared" si="6"/>
        <v>55</v>
      </c>
      <c r="H23" s="29">
        <f t="shared" si="7"/>
        <v>775.5</v>
      </c>
      <c r="I23" s="31"/>
      <c r="J23" s="35">
        <v>1020</v>
      </c>
      <c r="K23" s="75">
        <v>576360.11</v>
      </c>
      <c r="L23" s="10">
        <f t="shared" si="2"/>
        <v>565.05893137254895</v>
      </c>
      <c r="M23" s="11">
        <f t="shared" si="3"/>
        <v>0.13765182186234817</v>
      </c>
      <c r="N23" s="12">
        <f t="shared" si="8"/>
        <v>41</v>
      </c>
      <c r="O23" s="36">
        <f t="shared" si="13"/>
        <v>925.44634146341298</v>
      </c>
      <c r="P23" s="38"/>
      <c r="Q23" s="34">
        <v>1305</v>
      </c>
      <c r="R23" s="64">
        <v>706510.2</v>
      </c>
      <c r="S23" s="60">
        <f t="shared" si="4"/>
        <v>541.38712643678161</v>
      </c>
      <c r="T23" s="11">
        <f t="shared" si="5"/>
        <v>0.17043228418440642</v>
      </c>
      <c r="U23" s="14">
        <f t="shared" si="9"/>
        <v>27</v>
      </c>
      <c r="V23" s="36">
        <f t="shared" si="12"/>
        <v>346.29703703703342</v>
      </c>
      <c r="W23" s="42"/>
    </row>
    <row r="24" spans="2:23" ht="12" customHeight="1" x14ac:dyDescent="0.25">
      <c r="B24" s="15">
        <f t="shared" si="11"/>
        <v>12</v>
      </c>
      <c r="C24" s="16">
        <f>766+864</f>
        <v>1630</v>
      </c>
      <c r="D24" s="82">
        <f>362116.29+288339.77</f>
        <v>650456.06000000006</v>
      </c>
      <c r="E24" s="10">
        <f t="shared" si="0"/>
        <v>399.0527975460123</v>
      </c>
      <c r="F24" s="11">
        <f t="shared" si="1"/>
        <v>0.21287710591615516</v>
      </c>
      <c r="G24" s="12">
        <f t="shared" si="6"/>
        <v>23</v>
      </c>
      <c r="H24" s="29">
        <f t="shared" si="7"/>
        <v>952.34000000000287</v>
      </c>
      <c r="I24" s="31">
        <v>635.86</v>
      </c>
      <c r="J24" s="35">
        <v>1028</v>
      </c>
      <c r="K24" s="75">
        <v>581951.76</v>
      </c>
      <c r="L24" s="10">
        <f t="shared" si="2"/>
        <v>566.10093385214009</v>
      </c>
      <c r="M24" s="11">
        <f t="shared" si="3"/>
        <v>0.13873144399460188</v>
      </c>
      <c r="N24" s="12">
        <f t="shared" si="8"/>
        <v>8</v>
      </c>
      <c r="O24" s="36">
        <f t="shared" si="13"/>
        <v>698.95625000000291</v>
      </c>
      <c r="P24" s="38"/>
      <c r="Q24" s="34">
        <v>1307</v>
      </c>
      <c r="R24" s="64">
        <v>707393.54</v>
      </c>
      <c r="S24" s="60">
        <f t="shared" si="4"/>
        <v>541.23453710788067</v>
      </c>
      <c r="T24" s="11">
        <f t="shared" si="5"/>
        <v>0.17069348308737103</v>
      </c>
      <c r="U24" s="14">
        <f t="shared" si="9"/>
        <v>2</v>
      </c>
      <c r="V24" s="36">
        <f t="shared" si="12"/>
        <v>441.67000000004191</v>
      </c>
      <c r="W24" s="42"/>
    </row>
    <row r="25" spans="2:23" ht="12" customHeight="1" x14ac:dyDescent="0.25">
      <c r="B25" s="15">
        <f t="shared" si="11"/>
        <v>13</v>
      </c>
      <c r="C25" s="16">
        <f>824+843</f>
        <v>1667</v>
      </c>
      <c r="D25" s="82">
        <f>391642.37+272577.48</f>
        <v>664219.85</v>
      </c>
      <c r="E25" s="10">
        <f t="shared" si="0"/>
        <v>398.45221955608878</v>
      </c>
      <c r="F25" s="11">
        <f t="shared" si="1"/>
        <v>0.21770928562100039</v>
      </c>
      <c r="G25" s="12">
        <f t="shared" si="6"/>
        <v>37</v>
      </c>
      <c r="H25" s="29">
        <f t="shared" si="7"/>
        <v>371.99432432432218</v>
      </c>
      <c r="I25" s="31"/>
      <c r="J25" s="35">
        <v>1012</v>
      </c>
      <c r="K25" s="75">
        <v>572527.93999999994</v>
      </c>
      <c r="L25" s="10">
        <f t="shared" si="2"/>
        <v>565.73907114624501</v>
      </c>
      <c r="M25" s="11">
        <f t="shared" si="3"/>
        <v>0.13657219973009446</v>
      </c>
      <c r="N25" s="12">
        <f t="shared" si="8"/>
        <v>-16</v>
      </c>
      <c r="O25" s="36">
        <f t="shared" si="13"/>
        <v>588.98875000000407</v>
      </c>
      <c r="P25" s="38"/>
      <c r="Q25" s="34">
        <v>1339</v>
      </c>
      <c r="R25" s="64">
        <v>724026.88</v>
      </c>
      <c r="S25" s="60">
        <f t="shared" si="4"/>
        <v>540.72209111277073</v>
      </c>
      <c r="T25" s="11">
        <f t="shared" si="5"/>
        <v>0.17487266553480477</v>
      </c>
      <c r="U25" s="14">
        <f t="shared" si="9"/>
        <v>32</v>
      </c>
      <c r="V25" s="36">
        <f t="shared" si="12"/>
        <v>519.79187499999898</v>
      </c>
      <c r="W25" s="42"/>
    </row>
    <row r="26" spans="2:23" ht="12" customHeight="1" x14ac:dyDescent="0.25">
      <c r="B26" s="15">
        <f t="shared" si="11"/>
        <v>14</v>
      </c>
      <c r="C26" s="16">
        <f>928+831</f>
        <v>1759</v>
      </c>
      <c r="D26" s="82">
        <f>301388.52+424090.77</f>
        <v>725479.29</v>
      </c>
      <c r="E26" s="10">
        <f t="shared" si="0"/>
        <v>412.43848209209779</v>
      </c>
      <c r="F26" s="11">
        <f t="shared" si="1"/>
        <v>0.22972443515737234</v>
      </c>
      <c r="G26" s="12">
        <f t="shared" si="6"/>
        <v>92</v>
      </c>
      <c r="H26" s="29">
        <f t="shared" si="7"/>
        <v>665.86347826087024</v>
      </c>
      <c r="I26" s="31"/>
      <c r="J26" s="35">
        <v>1049</v>
      </c>
      <c r="K26" s="75">
        <v>596661.28</v>
      </c>
      <c r="L26" s="10">
        <f t="shared" si="2"/>
        <v>568.79054337464254</v>
      </c>
      <c r="M26" s="11">
        <f t="shared" si="3"/>
        <v>0.14156545209176788</v>
      </c>
      <c r="N26" s="12">
        <f t="shared" si="8"/>
        <v>37</v>
      </c>
      <c r="O26" s="36">
        <f t="shared" si="13"/>
        <v>652.25243243243472</v>
      </c>
      <c r="P26" s="38"/>
      <c r="Q26" s="34">
        <v>1357</v>
      </c>
      <c r="R26" s="64">
        <v>737063.56</v>
      </c>
      <c r="S26" s="60">
        <f t="shared" si="4"/>
        <v>543.15663964627856</v>
      </c>
      <c r="T26" s="11">
        <f t="shared" si="5"/>
        <v>0.17722345566148623</v>
      </c>
      <c r="U26" s="14">
        <f t="shared" si="9"/>
        <v>18</v>
      </c>
      <c r="V26" s="36">
        <f t="shared" si="12"/>
        <v>724.26000000000283</v>
      </c>
      <c r="W26" s="42"/>
    </row>
    <row r="27" spans="2:23" ht="12" customHeight="1" x14ac:dyDescent="0.25">
      <c r="B27" s="15">
        <f t="shared" si="11"/>
        <v>15</v>
      </c>
      <c r="C27" s="16">
        <f>786+1014</f>
        <v>1800</v>
      </c>
      <c r="D27" s="82">
        <f>290256.52+458682.71</f>
        <v>748939.23</v>
      </c>
      <c r="E27" s="10">
        <f t="shared" si="0"/>
        <v>416.07734999999997</v>
      </c>
      <c r="F27" s="11">
        <f t="shared" si="1"/>
        <v>0.23507901266814679</v>
      </c>
      <c r="G27" s="12">
        <f t="shared" si="6"/>
        <v>41</v>
      </c>
      <c r="H27" s="29">
        <f t="shared" si="7"/>
        <v>572.19365853658405</v>
      </c>
      <c r="I27" s="31"/>
      <c r="J27" s="35">
        <v>1339</v>
      </c>
      <c r="K27" s="75">
        <v>768251.28</v>
      </c>
      <c r="L27" s="10">
        <f t="shared" si="2"/>
        <v>573.75002240477966</v>
      </c>
      <c r="M27" s="11">
        <f t="shared" si="3"/>
        <v>0.18070175438596492</v>
      </c>
      <c r="N27" s="12">
        <f t="shared" si="8"/>
        <v>290</v>
      </c>
      <c r="O27" s="36">
        <f t="shared" si="13"/>
        <v>591.68965517241384</v>
      </c>
      <c r="P27" s="38"/>
      <c r="Q27" s="34">
        <v>1424</v>
      </c>
      <c r="R27" s="64">
        <v>794696.92</v>
      </c>
      <c r="S27" s="60">
        <f t="shared" si="4"/>
        <v>558.07367977528088</v>
      </c>
      <c r="T27" s="11">
        <f t="shared" si="5"/>
        <v>0.18597361891080058</v>
      </c>
      <c r="U27" s="14">
        <f t="shared" si="9"/>
        <v>67</v>
      </c>
      <c r="V27" s="36">
        <f t="shared" ref="V27:V43" si="14">(R27-R26)/U27</f>
        <v>860.19940298507447</v>
      </c>
      <c r="W27" s="42"/>
    </row>
    <row r="28" spans="2:23" ht="12" customHeight="1" x14ac:dyDescent="0.25">
      <c r="B28" s="15">
        <f t="shared" si="11"/>
        <v>16</v>
      </c>
      <c r="C28" s="16">
        <f>1105+759</f>
        <v>1864</v>
      </c>
      <c r="D28" s="82">
        <f>289669.04+492324.4</f>
        <v>781993.44</v>
      </c>
      <c r="E28" s="10">
        <f t="shared" si="0"/>
        <v>419.52437768240338</v>
      </c>
      <c r="F28" s="11">
        <f t="shared" si="1"/>
        <v>0.24343737756301423</v>
      </c>
      <c r="G28" s="12">
        <f t="shared" si="6"/>
        <v>64</v>
      </c>
      <c r="H28" s="29">
        <f t="shared" si="7"/>
        <v>516.47203124999942</v>
      </c>
      <c r="I28" s="31"/>
      <c r="J28" s="35">
        <v>1264</v>
      </c>
      <c r="K28" s="75">
        <v>701488.29</v>
      </c>
      <c r="L28" s="10">
        <f t="shared" si="2"/>
        <v>554.97491297468355</v>
      </c>
      <c r="M28" s="11">
        <f t="shared" si="3"/>
        <v>0.17058029689608636</v>
      </c>
      <c r="N28" s="12">
        <f t="shared" si="8"/>
        <v>-75</v>
      </c>
      <c r="O28" s="36">
        <f t="shared" si="13"/>
        <v>890.17319999999984</v>
      </c>
      <c r="P28" s="38"/>
      <c r="Q28" s="34">
        <v>1539</v>
      </c>
      <c r="R28" s="64">
        <v>841857.97</v>
      </c>
      <c r="S28" s="60">
        <f t="shared" si="4"/>
        <v>547.01622482131256</v>
      </c>
      <c r="T28" s="11">
        <f t="shared" si="5"/>
        <v>0.20099255583126552</v>
      </c>
      <c r="U28" s="14">
        <f t="shared" si="9"/>
        <v>115</v>
      </c>
      <c r="V28" s="36">
        <f t="shared" si="14"/>
        <v>410.09608695652111</v>
      </c>
      <c r="W28" s="42"/>
    </row>
    <row r="29" spans="2:23" ht="12" customHeight="1" x14ac:dyDescent="0.25">
      <c r="B29" s="15">
        <f t="shared" si="11"/>
        <v>17</v>
      </c>
      <c r="C29" s="16">
        <f>1196+691</f>
        <v>1887</v>
      </c>
      <c r="D29" s="83">
        <f>524394.42+267509.12</f>
        <v>791903.54</v>
      </c>
      <c r="E29" s="10">
        <f t="shared" si="0"/>
        <v>419.66271330153683</v>
      </c>
      <c r="F29" s="11">
        <f t="shared" si="1"/>
        <v>0.24644116494710722</v>
      </c>
      <c r="G29" s="12">
        <f t="shared" si="6"/>
        <v>23</v>
      </c>
      <c r="H29" s="29">
        <f t="shared" si="7"/>
        <v>430.87391304348233</v>
      </c>
      <c r="I29" s="31"/>
      <c r="J29" s="35">
        <v>1316</v>
      </c>
      <c r="K29" s="102">
        <v>732650</v>
      </c>
      <c r="L29" s="10">
        <f t="shared" si="2"/>
        <v>556.724924012158</v>
      </c>
      <c r="M29" s="11">
        <f t="shared" si="3"/>
        <v>0.17759784075573548</v>
      </c>
      <c r="N29" s="12">
        <f t="shared" si="8"/>
        <v>52</v>
      </c>
      <c r="O29" s="36">
        <f t="shared" si="13"/>
        <v>599.26365384615315</v>
      </c>
      <c r="P29" s="38"/>
      <c r="Q29" s="34">
        <v>1609</v>
      </c>
      <c r="R29" s="64">
        <v>877216.37</v>
      </c>
      <c r="S29" s="60">
        <f t="shared" si="4"/>
        <v>545.19351771286517</v>
      </c>
      <c r="T29" s="11">
        <f t="shared" si="5"/>
        <v>0.21013451743502679</v>
      </c>
      <c r="U29" s="14">
        <f t="shared" si="9"/>
        <v>70</v>
      </c>
      <c r="V29" s="36">
        <f t="shared" si="14"/>
        <v>505.12000000000035</v>
      </c>
      <c r="W29" s="42"/>
    </row>
    <row r="30" spans="2:23" ht="12" customHeight="1" x14ac:dyDescent="0.25">
      <c r="B30" s="15">
        <f t="shared" si="11"/>
        <v>18</v>
      </c>
      <c r="C30" s="16">
        <f>662+1301</f>
        <v>1963</v>
      </c>
      <c r="D30" s="84">
        <f>562181.33+274032.36</f>
        <v>836213.69</v>
      </c>
      <c r="E30" s="10">
        <f t="shared" si="0"/>
        <v>425.98761589403972</v>
      </c>
      <c r="F30" s="11">
        <f t="shared" si="1"/>
        <v>0.25636672325976229</v>
      </c>
      <c r="G30" s="12">
        <f t="shared" si="6"/>
        <v>76</v>
      </c>
      <c r="H30" s="29">
        <f t="shared" si="7"/>
        <v>583.028289473683</v>
      </c>
      <c r="I30" s="31"/>
      <c r="J30" s="35">
        <v>1370</v>
      </c>
      <c r="K30" s="75">
        <v>754263.53</v>
      </c>
      <c r="L30" s="10">
        <f t="shared" si="2"/>
        <v>550.55732116788329</v>
      </c>
      <c r="M30" s="11">
        <f t="shared" si="3"/>
        <v>0.18488529014844804</v>
      </c>
      <c r="N30" s="12">
        <f t="shared" si="8"/>
        <v>54</v>
      </c>
      <c r="O30" s="36">
        <f t="shared" si="13"/>
        <v>400.25055555555605</v>
      </c>
      <c r="P30" s="38"/>
      <c r="Q30" s="34">
        <v>1640</v>
      </c>
      <c r="R30" s="64">
        <v>896319.73</v>
      </c>
      <c r="S30" s="60">
        <f t="shared" si="4"/>
        <v>546.53642073170727</v>
      </c>
      <c r="T30" s="11">
        <f t="shared" si="5"/>
        <v>0.21418310043097818</v>
      </c>
      <c r="U30" s="14">
        <f t="shared" si="9"/>
        <v>31</v>
      </c>
      <c r="V30" s="36">
        <f t="shared" si="14"/>
        <v>616.23741935483827</v>
      </c>
      <c r="W30" s="42"/>
    </row>
    <row r="31" spans="2:23" ht="12" customHeight="1" x14ac:dyDescent="0.25">
      <c r="B31" s="15">
        <f t="shared" si="11"/>
        <v>19</v>
      </c>
      <c r="C31" s="16">
        <f>596+1396</f>
        <v>1992</v>
      </c>
      <c r="D31" s="84">
        <f>264792.66+598025.91</f>
        <v>862818.57000000007</v>
      </c>
      <c r="E31" s="10">
        <f t="shared" si="0"/>
        <v>433.1418524096386</v>
      </c>
      <c r="F31" s="11">
        <f t="shared" si="1"/>
        <v>0.26015410735274913</v>
      </c>
      <c r="G31" s="12">
        <f t="shared" si="6"/>
        <v>29</v>
      </c>
      <c r="H31" s="29">
        <f t="shared" si="7"/>
        <v>917.40965517241796</v>
      </c>
      <c r="I31" s="31"/>
      <c r="J31" s="35">
        <v>1401</v>
      </c>
      <c r="K31" s="75">
        <v>779594.19</v>
      </c>
      <c r="L31" s="10">
        <f t="shared" si="2"/>
        <v>556.45552462526757</v>
      </c>
      <c r="M31" s="11">
        <f t="shared" si="3"/>
        <v>0.18906882591093119</v>
      </c>
      <c r="N31" s="12">
        <f t="shared" si="8"/>
        <v>31</v>
      </c>
      <c r="O31" s="36">
        <f t="shared" si="13"/>
        <v>817.11806451612631</v>
      </c>
      <c r="P31" s="38"/>
      <c r="Q31" s="34">
        <v>1648</v>
      </c>
      <c r="R31" s="64">
        <v>899853.09</v>
      </c>
      <c r="S31" s="60">
        <f t="shared" si="4"/>
        <v>546.02736043689322</v>
      </c>
      <c r="T31" s="11">
        <f t="shared" si="5"/>
        <v>0.21522789604283663</v>
      </c>
      <c r="U31" s="14">
        <f t="shared" si="9"/>
        <v>8</v>
      </c>
      <c r="V31" s="36">
        <f t="shared" si="14"/>
        <v>441.66999999999825</v>
      </c>
      <c r="W31" s="42"/>
    </row>
    <row r="32" spans="2:23" ht="12" customHeight="1" x14ac:dyDescent="0.25">
      <c r="B32" s="15">
        <f t="shared" si="11"/>
        <v>20</v>
      </c>
      <c r="C32" s="16">
        <f>1468+544</f>
        <v>2012</v>
      </c>
      <c r="D32" s="84">
        <f>629605.52+256390.21</f>
        <v>885995.73</v>
      </c>
      <c r="E32" s="10">
        <f t="shared" si="0"/>
        <v>440.3557306163022</v>
      </c>
      <c r="F32" s="11">
        <f t="shared" si="1"/>
        <v>0.26276609638239518</v>
      </c>
      <c r="G32" s="12">
        <f t="shared" si="6"/>
        <v>20</v>
      </c>
      <c r="H32" s="29">
        <f t="shared" si="7"/>
        <v>1158.8579999999959</v>
      </c>
      <c r="I32" s="31"/>
      <c r="J32" s="35">
        <v>1442</v>
      </c>
      <c r="K32" s="75">
        <v>813364.2</v>
      </c>
      <c r="L32" s="10">
        <f t="shared" si="2"/>
        <v>564.05284327323159</v>
      </c>
      <c r="M32" s="11">
        <f t="shared" si="3"/>
        <v>0.19460188933873143</v>
      </c>
      <c r="N32" s="12">
        <f t="shared" si="8"/>
        <v>41</v>
      </c>
      <c r="O32" s="36">
        <f t="shared" si="13"/>
        <v>823.65878048780507</v>
      </c>
      <c r="P32" s="38"/>
      <c r="Q32" s="34">
        <v>1673</v>
      </c>
      <c r="R32" s="64">
        <v>911584.75</v>
      </c>
      <c r="S32" s="60">
        <f t="shared" si="4"/>
        <v>544.88030484160197</v>
      </c>
      <c r="T32" s="11">
        <f t="shared" si="5"/>
        <v>0.21849288232989422</v>
      </c>
      <c r="U32" s="14">
        <f t="shared" si="9"/>
        <v>25</v>
      </c>
      <c r="V32" s="36">
        <f t="shared" si="14"/>
        <v>469.26640000000128</v>
      </c>
      <c r="W32" s="42"/>
    </row>
    <row r="33" spans="2:23" ht="12" customHeight="1" x14ac:dyDescent="0.25">
      <c r="B33" s="15">
        <f t="shared" si="11"/>
        <v>21</v>
      </c>
      <c r="C33" s="16">
        <f>1546+554</f>
        <v>2100</v>
      </c>
      <c r="D33" s="82">
        <f>664236.44+276586</f>
        <v>940822.44</v>
      </c>
      <c r="E33" s="10">
        <f t="shared" si="0"/>
        <v>448.01068571428567</v>
      </c>
      <c r="F33" s="11">
        <f t="shared" si="1"/>
        <v>0.27425884811283791</v>
      </c>
      <c r="G33" s="12">
        <f t="shared" si="6"/>
        <v>88</v>
      </c>
      <c r="H33" s="29">
        <f t="shared" si="7"/>
        <v>623.030795454545</v>
      </c>
      <c r="I33" s="31"/>
      <c r="J33" s="35">
        <v>1517</v>
      </c>
      <c r="K33" s="75">
        <v>853731.93</v>
      </c>
      <c r="L33" s="10">
        <f t="shared" si="2"/>
        <v>562.77648648648653</v>
      </c>
      <c r="M33" s="11">
        <f t="shared" si="3"/>
        <v>0.20472334682860999</v>
      </c>
      <c r="N33" s="12">
        <f t="shared" si="8"/>
        <v>75</v>
      </c>
      <c r="O33" s="36">
        <f t="shared" si="13"/>
        <v>538.23640000000125</v>
      </c>
      <c r="P33" s="38"/>
      <c r="Q33" s="34">
        <v>1683</v>
      </c>
      <c r="R33" s="64">
        <v>917934.73</v>
      </c>
      <c r="S33" s="60">
        <f t="shared" si="4"/>
        <v>545.41576351752826</v>
      </c>
      <c r="T33" s="11">
        <f t="shared" si="5"/>
        <v>0.21979887684471724</v>
      </c>
      <c r="U33" s="14">
        <f t="shared" si="9"/>
        <v>10</v>
      </c>
      <c r="V33" s="36">
        <f t="shared" si="14"/>
        <v>634.99799999999811</v>
      </c>
      <c r="W33" s="42"/>
    </row>
    <row r="34" spans="2:23" ht="12" customHeight="1" x14ac:dyDescent="0.25">
      <c r="B34" s="15">
        <f t="shared" si="11"/>
        <v>22</v>
      </c>
      <c r="C34" s="16">
        <f>1622+498</f>
        <v>2120</v>
      </c>
      <c r="D34" s="82">
        <f>698104.2+263302.55</f>
        <v>961406.75</v>
      </c>
      <c r="E34" s="10">
        <f t="shared" si="0"/>
        <v>453.49374999999998</v>
      </c>
      <c r="F34" s="11">
        <f t="shared" si="1"/>
        <v>0.27687083714248401</v>
      </c>
      <c r="G34" s="12">
        <f t="shared" si="6"/>
        <v>20</v>
      </c>
      <c r="H34" s="29">
        <f t="shared" si="7"/>
        <v>1029.2155000000027</v>
      </c>
      <c r="I34" s="31"/>
      <c r="J34" s="35">
        <v>1558</v>
      </c>
      <c r="K34" s="75">
        <v>885802.29</v>
      </c>
      <c r="L34" s="10">
        <f t="shared" si="2"/>
        <v>568.55089216944805</v>
      </c>
      <c r="M34" s="11">
        <f t="shared" si="3"/>
        <v>0.21025641025641026</v>
      </c>
      <c r="N34" s="12">
        <f t="shared" si="8"/>
        <v>41</v>
      </c>
      <c r="O34" s="36">
        <f t="shared" si="13"/>
        <v>782.20390243902409</v>
      </c>
      <c r="P34" s="38"/>
      <c r="Q34" s="34">
        <v>1707</v>
      </c>
      <c r="R34" s="64">
        <v>933899.74</v>
      </c>
      <c r="S34" s="60">
        <f t="shared" si="4"/>
        <v>547.10002343292331</v>
      </c>
      <c r="T34" s="11">
        <f t="shared" si="5"/>
        <v>0.22293326368029254</v>
      </c>
      <c r="U34" s="14">
        <f t="shared" si="9"/>
        <v>24</v>
      </c>
      <c r="V34" s="36">
        <f t="shared" si="14"/>
        <v>665.20875000000035</v>
      </c>
      <c r="W34" s="42"/>
    </row>
    <row r="35" spans="2:23" ht="12" customHeight="1" x14ac:dyDescent="0.25">
      <c r="B35" s="15">
        <f t="shared" si="11"/>
        <v>23</v>
      </c>
      <c r="C35" s="16">
        <f>476+1687</f>
        <v>2163</v>
      </c>
      <c r="D35" s="82">
        <f>265028.49+728355.58</f>
        <v>993384.07</v>
      </c>
      <c r="E35" s="10">
        <f t="shared" si="0"/>
        <v>459.2621682847896</v>
      </c>
      <c r="F35" s="11">
        <f t="shared" si="1"/>
        <v>0.28248661355622307</v>
      </c>
      <c r="G35" s="12">
        <f t="shared" si="6"/>
        <v>43</v>
      </c>
      <c r="H35" s="29">
        <f t="shared" si="7"/>
        <v>743.65860465116157</v>
      </c>
      <c r="I35" s="31"/>
      <c r="J35" s="35">
        <v>1640</v>
      </c>
      <c r="K35" s="75">
        <v>933879.86</v>
      </c>
      <c r="L35" s="10">
        <f t="shared" si="2"/>
        <v>569.43893902439027</v>
      </c>
      <c r="M35" s="11">
        <f t="shared" si="3"/>
        <v>0.2213225371120108</v>
      </c>
      <c r="N35" s="12">
        <f t="shared" si="8"/>
        <v>82</v>
      </c>
      <c r="O35" s="36">
        <f t="shared" si="13"/>
        <v>586.31182926829206</v>
      </c>
      <c r="P35" s="38"/>
      <c r="Q35" s="34">
        <v>1760</v>
      </c>
      <c r="R35" s="64">
        <v>950330.75</v>
      </c>
      <c r="S35" s="60">
        <f t="shared" si="4"/>
        <v>539.96065340909092</v>
      </c>
      <c r="T35" s="11">
        <f t="shared" si="5"/>
        <v>0.22985503460885465</v>
      </c>
      <c r="U35" s="14">
        <f t="shared" si="9"/>
        <v>53</v>
      </c>
      <c r="V35" s="36">
        <f t="shared" si="14"/>
        <v>310.01905660377378</v>
      </c>
      <c r="W35" s="42"/>
    </row>
    <row r="36" spans="2:23" ht="12" customHeight="1" x14ac:dyDescent="0.25">
      <c r="B36" s="15">
        <f t="shared" si="11"/>
        <v>24</v>
      </c>
      <c r="C36" s="16">
        <f>1747+461</f>
        <v>2208</v>
      </c>
      <c r="D36" s="82">
        <f>751856.37+252057.94</f>
        <v>1003914.31</v>
      </c>
      <c r="E36" s="10">
        <f t="shared" si="0"/>
        <v>454.67133605072468</v>
      </c>
      <c r="F36" s="11">
        <f t="shared" si="1"/>
        <v>0.28836358887292673</v>
      </c>
      <c r="G36" s="12">
        <f t="shared" si="6"/>
        <v>45</v>
      </c>
      <c r="H36" s="29">
        <f t="shared" si="7"/>
        <v>234.00533333333573</v>
      </c>
      <c r="I36" s="31"/>
      <c r="J36" s="35">
        <v>1751</v>
      </c>
      <c r="K36" s="75">
        <v>999580.54</v>
      </c>
      <c r="L36" s="10">
        <f t="shared" si="2"/>
        <v>570.86267275842374</v>
      </c>
      <c r="M36" s="11">
        <f t="shared" si="3"/>
        <v>0.23630229419703103</v>
      </c>
      <c r="N36" s="12">
        <f t="shared" si="8"/>
        <v>111</v>
      </c>
      <c r="O36" s="36">
        <f t="shared" si="13"/>
        <v>591.89801801801843</v>
      </c>
      <c r="P36" s="38"/>
      <c r="Q36" s="34">
        <v>1783</v>
      </c>
      <c r="R36" s="64">
        <v>954350.8</v>
      </c>
      <c r="S36" s="60">
        <f t="shared" si="4"/>
        <v>535.25002804262476</v>
      </c>
      <c r="T36" s="11">
        <f t="shared" si="5"/>
        <v>0.23285882199294763</v>
      </c>
      <c r="U36" s="14">
        <f t="shared" si="9"/>
        <v>23</v>
      </c>
      <c r="V36" s="36">
        <f t="shared" si="14"/>
        <v>174.78478260869767</v>
      </c>
      <c r="W36" s="42"/>
    </row>
    <row r="37" spans="2:23" ht="12" customHeight="1" x14ac:dyDescent="0.25">
      <c r="B37" s="15">
        <f t="shared" si="11"/>
        <v>25</v>
      </c>
      <c r="C37" s="16">
        <f>428+1817</f>
        <v>2245</v>
      </c>
      <c r="D37" s="82">
        <f>782202.42+251695.68</f>
        <v>1033898.1000000001</v>
      </c>
      <c r="E37" s="10">
        <f t="shared" si="0"/>
        <v>460.53367483296216</v>
      </c>
      <c r="F37" s="11">
        <f t="shared" si="1"/>
        <v>0.29319576857777196</v>
      </c>
      <c r="G37" s="12">
        <f t="shared" si="6"/>
        <v>37</v>
      </c>
      <c r="H37" s="29">
        <f t="shared" si="7"/>
        <v>810.37270270270369</v>
      </c>
      <c r="I37" s="31"/>
      <c r="J37" s="35">
        <v>1910</v>
      </c>
      <c r="K37" s="75">
        <v>1113817.94</v>
      </c>
      <c r="L37" s="10">
        <f t="shared" si="2"/>
        <v>583.15075392670155</v>
      </c>
      <c r="M37" s="11">
        <f t="shared" si="3"/>
        <v>0.25775978407557354</v>
      </c>
      <c r="N37" s="12">
        <f t="shared" si="8"/>
        <v>159</v>
      </c>
      <c r="O37" s="36">
        <f t="shared" si="13"/>
        <v>718.47421383647736</v>
      </c>
      <c r="P37" s="38"/>
      <c r="Q37" s="34">
        <v>1811</v>
      </c>
      <c r="R37" s="64">
        <v>971557.8</v>
      </c>
      <c r="S37" s="60">
        <f t="shared" si="4"/>
        <v>536.47586968525684</v>
      </c>
      <c r="T37" s="11">
        <f t="shared" si="5"/>
        <v>0.23651560663445215</v>
      </c>
      <c r="U37" s="14">
        <f t="shared" si="9"/>
        <v>28</v>
      </c>
      <c r="V37" s="36">
        <f t="shared" si="14"/>
        <v>614.53571428571433</v>
      </c>
      <c r="W37" s="42"/>
    </row>
    <row r="38" spans="2:23" ht="12" customHeight="1" x14ac:dyDescent="0.25">
      <c r="B38" s="15">
        <f t="shared" si="11"/>
        <v>26</v>
      </c>
      <c r="C38" s="16">
        <f>370+1895</f>
        <v>2265</v>
      </c>
      <c r="D38" s="82">
        <f>810623.85+242934.72</f>
        <v>1053558.57</v>
      </c>
      <c r="E38" s="10">
        <f t="shared" si="0"/>
        <v>465.14727152317886</v>
      </c>
      <c r="F38" s="11">
        <f t="shared" si="1"/>
        <v>0.29580775760741806</v>
      </c>
      <c r="G38" s="12">
        <f t="shared" si="6"/>
        <v>20</v>
      </c>
      <c r="H38" s="36">
        <f t="shared" si="7"/>
        <v>983.02349999999865</v>
      </c>
      <c r="I38" s="31"/>
      <c r="J38" s="35">
        <v>1960</v>
      </c>
      <c r="K38" s="75">
        <v>1155081.6599999999</v>
      </c>
      <c r="L38" s="10">
        <f t="shared" si="2"/>
        <v>589.32737755102039</v>
      </c>
      <c r="M38" s="11">
        <f t="shared" si="3"/>
        <v>0.26450742240215924</v>
      </c>
      <c r="N38" s="12">
        <f t="shared" si="8"/>
        <v>50</v>
      </c>
      <c r="O38" s="36">
        <f t="shared" si="13"/>
        <v>825.27439999999945</v>
      </c>
      <c r="P38" s="38"/>
      <c r="Q38" s="34">
        <v>1833</v>
      </c>
      <c r="R38" s="64">
        <v>980537.85</v>
      </c>
      <c r="S38" s="60">
        <f t="shared" si="4"/>
        <v>534.93608837970544</v>
      </c>
      <c r="T38" s="11">
        <f t="shared" si="5"/>
        <v>0.23938879456706283</v>
      </c>
      <c r="U38" s="14">
        <f t="shared" si="9"/>
        <v>22</v>
      </c>
      <c r="V38" s="36">
        <f t="shared" si="14"/>
        <v>408.18409090908773</v>
      </c>
      <c r="W38" s="42"/>
    </row>
    <row r="39" spans="2:23" ht="12" customHeight="1" x14ac:dyDescent="0.25">
      <c r="B39" s="15">
        <f t="shared" si="11"/>
        <v>27</v>
      </c>
      <c r="C39" s="16">
        <f>323+1955</f>
        <v>2278</v>
      </c>
      <c r="D39" s="82">
        <f>838967.46+225526.21</f>
        <v>1064493.67</v>
      </c>
      <c r="E39" s="10">
        <f t="shared" si="0"/>
        <v>467.29309482001753</v>
      </c>
      <c r="F39" s="11">
        <f t="shared" si="1"/>
        <v>0.29750555047668797</v>
      </c>
      <c r="G39" s="12">
        <f t="shared" si="6"/>
        <v>13</v>
      </c>
      <c r="H39" s="36">
        <f t="shared" si="7"/>
        <v>841.1615384615277</v>
      </c>
      <c r="I39" s="31"/>
      <c r="J39" s="35">
        <v>1978</v>
      </c>
      <c r="K39" s="75">
        <v>1165283.3600000001</v>
      </c>
      <c r="L39" s="10">
        <f t="shared" si="2"/>
        <v>589.12202224469161</v>
      </c>
      <c r="M39" s="11">
        <f t="shared" si="3"/>
        <v>0.2669365721997301</v>
      </c>
      <c r="N39" s="12">
        <f t="shared" si="8"/>
        <v>18</v>
      </c>
      <c r="O39" s="36">
        <f>(K39-K38)/N39</f>
        <v>566.76111111112141</v>
      </c>
      <c r="P39" s="38"/>
      <c r="Q39" s="34">
        <v>1866</v>
      </c>
      <c r="R39" s="64">
        <v>995171.27</v>
      </c>
      <c r="S39" s="60">
        <f t="shared" si="4"/>
        <v>533.31793676312975</v>
      </c>
      <c r="T39" s="11">
        <f t="shared" si="5"/>
        <v>0.24369857646597884</v>
      </c>
      <c r="U39" s="14">
        <f t="shared" si="9"/>
        <v>33</v>
      </c>
      <c r="V39" s="36">
        <f t="shared" si="14"/>
        <v>443.43696969697095</v>
      </c>
      <c r="W39" s="42"/>
    </row>
    <row r="40" spans="2:23" ht="12" customHeight="1" x14ac:dyDescent="0.25">
      <c r="B40" s="15">
        <f t="shared" si="11"/>
        <v>28</v>
      </c>
      <c r="C40" s="16">
        <f>2013+272</f>
        <v>2285</v>
      </c>
      <c r="D40" s="82">
        <f>866055.44+199103.92</f>
        <v>1065159.3599999999</v>
      </c>
      <c r="E40" s="10">
        <f t="shared" si="0"/>
        <v>466.15289277899336</v>
      </c>
      <c r="F40" s="11">
        <f t="shared" si="1"/>
        <v>0.29841974663706411</v>
      </c>
      <c r="G40" s="12">
        <f t="shared" si="6"/>
        <v>7</v>
      </c>
      <c r="H40" s="36">
        <f>(D40-D39)/G40</f>
        <v>95.098571428563446</v>
      </c>
      <c r="I40" s="31"/>
      <c r="J40" s="35">
        <v>1999</v>
      </c>
      <c r="K40" s="75">
        <v>1189774.5</v>
      </c>
      <c r="L40" s="10">
        <f t="shared" si="2"/>
        <v>595.18484242121065</v>
      </c>
      <c r="M40" s="11">
        <f t="shared" si="3"/>
        <v>0.2697705802968961</v>
      </c>
      <c r="N40" s="12">
        <f t="shared" si="8"/>
        <v>21</v>
      </c>
      <c r="O40" s="36">
        <f t="shared" si="13"/>
        <v>1166.2447619047571</v>
      </c>
      <c r="P40" s="38"/>
      <c r="Q40" s="34">
        <v>1871</v>
      </c>
      <c r="R40" s="64">
        <v>997762.98</v>
      </c>
      <c r="S40" s="60">
        <f t="shared" si="4"/>
        <v>533.27791555318015</v>
      </c>
      <c r="T40" s="11">
        <f t="shared" si="5"/>
        <v>0.24435157372339036</v>
      </c>
      <c r="U40" s="14">
        <f t="shared" si="9"/>
        <v>5</v>
      </c>
      <c r="V40" s="36">
        <f t="shared" si="14"/>
        <v>518.34199999999259</v>
      </c>
      <c r="W40" s="42"/>
    </row>
    <row r="41" spans="2:23" ht="12" customHeight="1" x14ac:dyDescent="0.25">
      <c r="B41" s="15">
        <f t="shared" si="11"/>
        <v>29</v>
      </c>
      <c r="C41" s="16">
        <f>239+2072</f>
        <v>2311</v>
      </c>
      <c r="D41" s="82">
        <f>900084.9+191384.33</f>
        <v>1091469.23</v>
      </c>
      <c r="E41" s="10">
        <f t="shared" si="0"/>
        <v>472.29304630030288</v>
      </c>
      <c r="F41" s="11">
        <f t="shared" si="1"/>
        <v>0.30181533237560404</v>
      </c>
      <c r="G41" s="12">
        <f t="shared" si="6"/>
        <v>26</v>
      </c>
      <c r="H41" s="29">
        <f>(D41-D40)/G41</f>
        <v>1011.9180769230812</v>
      </c>
      <c r="I41" s="31">
        <v>0</v>
      </c>
      <c r="J41" s="35">
        <v>2164</v>
      </c>
      <c r="K41" s="75">
        <v>1316581.31</v>
      </c>
      <c r="L41" s="10">
        <f t="shared" si="2"/>
        <v>608.40171441774498</v>
      </c>
      <c r="M41" s="11">
        <f t="shared" si="3"/>
        <v>0.29203778677462888</v>
      </c>
      <c r="N41" s="12">
        <f t="shared" si="8"/>
        <v>165</v>
      </c>
      <c r="O41" s="36">
        <f t="shared" si="13"/>
        <v>768.52612121212155</v>
      </c>
      <c r="P41" s="38"/>
      <c r="Q41" s="34">
        <v>1879</v>
      </c>
      <c r="R41" s="64">
        <v>1001673.01</v>
      </c>
      <c r="S41" s="60">
        <f t="shared" si="4"/>
        <v>533.08835018626928</v>
      </c>
      <c r="T41" s="11">
        <f t="shared" si="5"/>
        <v>0.2453963693352488</v>
      </c>
      <c r="U41" s="14">
        <f t="shared" si="9"/>
        <v>8</v>
      </c>
      <c r="V41" s="36">
        <f t="shared" si="14"/>
        <v>488.75375000000349</v>
      </c>
      <c r="W41" s="42"/>
    </row>
    <row r="42" spans="2:23" ht="12" customHeight="1" x14ac:dyDescent="0.25">
      <c r="B42" s="15">
        <v>30</v>
      </c>
      <c r="C42" s="16">
        <f>198+2171</f>
        <v>2369</v>
      </c>
      <c r="D42" s="82">
        <f>987246.17+160164.74</f>
        <v>1147410.9100000001</v>
      </c>
      <c r="E42" s="111">
        <f t="shared" si="0"/>
        <v>484.34398902490511</v>
      </c>
      <c r="F42" s="112">
        <f t="shared" si="1"/>
        <v>0.30939010056157762</v>
      </c>
      <c r="G42" s="113">
        <f t="shared" si="6"/>
        <v>58</v>
      </c>
      <c r="H42" s="114">
        <f t="shared" si="7"/>
        <v>964.51172413793392</v>
      </c>
      <c r="I42" s="115"/>
      <c r="J42" s="35">
        <v>2289</v>
      </c>
      <c r="K42" s="116">
        <v>1389375.45</v>
      </c>
      <c r="L42" s="111">
        <f t="shared" si="2"/>
        <v>606.97922673656615</v>
      </c>
      <c r="M42" s="112">
        <f t="shared" si="3"/>
        <v>0.30890688259109311</v>
      </c>
      <c r="N42" s="113">
        <f t="shared" si="8"/>
        <v>125</v>
      </c>
      <c r="O42" s="117">
        <f t="shared" si="13"/>
        <v>582.35311999999919</v>
      </c>
      <c r="P42" s="118"/>
      <c r="Q42" s="35">
        <v>1892</v>
      </c>
      <c r="R42" s="119">
        <v>1011936.35</v>
      </c>
      <c r="S42" s="120">
        <f t="shared" si="4"/>
        <v>534.85007928118387</v>
      </c>
      <c r="T42" s="112">
        <f t="shared" si="5"/>
        <v>0.24709416220451874</v>
      </c>
      <c r="U42" s="121">
        <f t="shared" si="9"/>
        <v>13</v>
      </c>
      <c r="V42" s="117">
        <f t="shared" si="14"/>
        <v>789.48769230768983</v>
      </c>
      <c r="W42" s="42"/>
    </row>
    <row r="43" spans="2:23" ht="11.25" customHeight="1" thickBot="1" x14ac:dyDescent="0.3">
      <c r="B43" s="17">
        <v>31</v>
      </c>
      <c r="C43" s="18">
        <v>2404</v>
      </c>
      <c r="D43" s="88">
        <v>1217016.8400000001</v>
      </c>
      <c r="E43" s="19">
        <f t="shared" si="0"/>
        <v>506.24660565723798</v>
      </c>
      <c r="F43" s="20">
        <f t="shared" si="1"/>
        <v>0.31396108136345829</v>
      </c>
      <c r="G43" s="122">
        <f t="shared" si="6"/>
        <v>35</v>
      </c>
      <c r="H43" s="90">
        <f t="shared" si="7"/>
        <v>1988.7408571428552</v>
      </c>
      <c r="I43" s="32"/>
      <c r="J43" s="37">
        <v>2426</v>
      </c>
      <c r="K43" s="80">
        <v>1479057.11</v>
      </c>
      <c r="L43" s="19">
        <f t="shared" si="2"/>
        <v>609.6690478153339</v>
      </c>
      <c r="M43" s="20">
        <f t="shared" si="3"/>
        <v>0.32739541160593794</v>
      </c>
      <c r="N43" s="122">
        <f t="shared" si="8"/>
        <v>137</v>
      </c>
      <c r="O43" s="91">
        <f t="shared" si="13"/>
        <v>654.61065693430771</v>
      </c>
      <c r="P43" s="39"/>
      <c r="Q43" s="37">
        <v>1940</v>
      </c>
      <c r="R43" s="88">
        <v>1039718.08</v>
      </c>
      <c r="S43" s="92">
        <f t="shared" si="4"/>
        <v>535.93715463917522</v>
      </c>
      <c r="T43" s="20">
        <f t="shared" si="5"/>
        <v>0.25336293587566933</v>
      </c>
      <c r="U43" s="123">
        <f t="shared" si="9"/>
        <v>48</v>
      </c>
      <c r="V43" s="124">
        <f t="shared" si="14"/>
        <v>578.78604166666628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</sheetData>
  <mergeCells count="15">
    <mergeCell ref="B10:V10"/>
    <mergeCell ref="B5:W5"/>
    <mergeCell ref="B6:H6"/>
    <mergeCell ref="J6:O6"/>
    <mergeCell ref="Q6:V6"/>
    <mergeCell ref="F8:G8"/>
    <mergeCell ref="N3:Q3"/>
    <mergeCell ref="N4:Q4"/>
    <mergeCell ref="R3:V3"/>
    <mergeCell ref="R4:V4"/>
    <mergeCell ref="H8:I8"/>
    <mergeCell ref="M8:N8"/>
    <mergeCell ref="O8:P8"/>
    <mergeCell ref="T8:U8"/>
    <mergeCell ref="V8:W8"/>
  </mergeCells>
  <pageMargins left="0.75" right="0.64" top="0.9" bottom="0.68" header="0.5" footer="0.5"/>
  <pageSetup scale="9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7"/>
  <sheetViews>
    <sheetView topLeftCell="B1" zoomScaleSheetLayoutView="100" workbookViewId="0">
      <selection activeCell="B10" sqref="B10:V10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140625" style="81" customWidth="1"/>
    <col min="19" max="19" width="7.42578125" style="1" customWidth="1"/>
    <col min="20" max="20" width="6.85546875" style="1" customWidth="1"/>
    <col min="21" max="21" width="3.7109375" style="1" customWidth="1"/>
    <col min="22" max="22" width="8.140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5" ht="36.75" customHeight="1" x14ac:dyDescent="0.25"/>
    <row r="3" spans="1:25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16</v>
      </c>
      <c r="C6" s="139"/>
      <c r="D6" s="139"/>
      <c r="E6" s="139"/>
      <c r="F6" s="139"/>
      <c r="G6" s="139"/>
      <c r="H6" s="140"/>
      <c r="I6" s="104"/>
      <c r="J6" s="141" t="s">
        <v>17</v>
      </c>
      <c r="K6" s="142"/>
      <c r="L6" s="142"/>
      <c r="M6" s="142"/>
      <c r="N6" s="142"/>
      <c r="O6" s="143"/>
      <c r="P6" s="104"/>
      <c r="Q6" s="141" t="s">
        <v>18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5585</v>
      </c>
      <c r="F7" s="25"/>
      <c r="G7" s="13" t="s">
        <v>6</v>
      </c>
      <c r="H7" s="94">
        <v>671.84</v>
      </c>
      <c r="I7" s="67"/>
      <c r="J7" s="24" t="s">
        <v>12</v>
      </c>
      <c r="K7" s="76"/>
      <c r="L7" s="13">
        <v>6895</v>
      </c>
      <c r="M7" s="25"/>
      <c r="N7" s="13" t="s">
        <v>6</v>
      </c>
      <c r="O7" s="95">
        <v>808.89</v>
      </c>
      <c r="P7" s="96"/>
      <c r="Q7" s="24" t="s">
        <v>12</v>
      </c>
      <c r="R7" s="76"/>
      <c r="S7" s="13">
        <v>6900</v>
      </c>
      <c r="T7" s="25"/>
      <c r="U7" s="13" t="s">
        <v>6</v>
      </c>
      <c r="V7" s="95">
        <v>846.83</v>
      </c>
      <c r="W7" s="96"/>
    </row>
    <row r="8" spans="1:25" ht="12" customHeight="1" x14ac:dyDescent="0.3">
      <c r="B8" s="2"/>
      <c r="C8" s="6" t="s">
        <v>5</v>
      </c>
      <c r="D8" s="77"/>
      <c r="E8" s="22">
        <v>0.754</v>
      </c>
      <c r="F8" s="128" t="s">
        <v>7</v>
      </c>
      <c r="G8" s="129"/>
      <c r="H8" s="153">
        <v>3752250</v>
      </c>
      <c r="I8" s="154"/>
      <c r="J8" s="6" t="s">
        <v>5</v>
      </c>
      <c r="K8" s="77"/>
      <c r="L8" s="22">
        <v>0.9</v>
      </c>
      <c r="M8" s="128" t="s">
        <v>7</v>
      </c>
      <c r="N8" s="129"/>
      <c r="O8" s="153">
        <v>5577300</v>
      </c>
      <c r="P8" s="154"/>
      <c r="Q8" s="6" t="s">
        <v>5</v>
      </c>
      <c r="R8" s="77"/>
      <c r="S8" s="22">
        <v>0.93100000000000005</v>
      </c>
      <c r="T8" s="128" t="s">
        <v>7</v>
      </c>
      <c r="U8" s="144"/>
      <c r="V8" s="153">
        <v>5843150</v>
      </c>
      <c r="W8" s="154"/>
    </row>
    <row r="9" spans="1:25" ht="11.25" customHeight="1" x14ac:dyDescent="0.3">
      <c r="B9" s="2"/>
      <c r="C9" s="6" t="s">
        <v>11</v>
      </c>
      <c r="D9" s="77"/>
      <c r="E9" s="7">
        <v>7410</v>
      </c>
      <c r="F9" s="3"/>
      <c r="G9" s="3"/>
      <c r="H9" s="59"/>
      <c r="I9" s="4"/>
      <c r="J9" s="6" t="s">
        <v>11</v>
      </c>
      <c r="K9" s="77"/>
      <c r="L9" s="7">
        <v>7657</v>
      </c>
      <c r="M9" s="3"/>
      <c r="N9" s="3"/>
      <c r="O9" s="59"/>
      <c r="P9" s="66"/>
      <c r="Q9" s="6" t="s">
        <v>11</v>
      </c>
      <c r="R9" s="77"/>
      <c r="S9" s="7">
        <v>7410</v>
      </c>
      <c r="T9" s="3"/>
      <c r="U9" s="3"/>
      <c r="V9" s="97"/>
      <c r="W9" s="98"/>
    </row>
    <row r="10" spans="1:25" ht="17.25" customHeight="1" x14ac:dyDescent="0.3">
      <c r="B10" s="155" t="s">
        <v>35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7"/>
      <c r="W10" s="74"/>
      <c r="X10" s="69"/>
      <c r="Y10" s="56"/>
    </row>
    <row r="11" spans="1:25" ht="39" customHeight="1" x14ac:dyDescent="0.25">
      <c r="B11" s="99" t="s">
        <v>0</v>
      </c>
      <c r="C11" s="71" t="s">
        <v>1</v>
      </c>
      <c r="D11" s="87" t="s">
        <v>8</v>
      </c>
      <c r="E11" s="71" t="s">
        <v>2</v>
      </c>
      <c r="F11" s="71" t="s">
        <v>3</v>
      </c>
      <c r="G11" s="71" t="s">
        <v>4</v>
      </c>
      <c r="H11" s="100" t="s">
        <v>9</v>
      </c>
      <c r="I11" s="101"/>
      <c r="J11" s="70" t="s">
        <v>1</v>
      </c>
      <c r="K11" s="87" t="s">
        <v>8</v>
      </c>
      <c r="L11" s="71" t="s">
        <v>2</v>
      </c>
      <c r="M11" s="71" t="s">
        <v>3</v>
      </c>
      <c r="N11" s="71" t="s">
        <v>4</v>
      </c>
      <c r="O11" s="100" t="s">
        <v>9</v>
      </c>
      <c r="P11" s="101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1.25" customHeight="1" x14ac:dyDescent="0.25">
      <c r="B13" s="8">
        <v>1</v>
      </c>
      <c r="C13" s="9">
        <f>245+2223</f>
        <v>2468</v>
      </c>
      <c r="D13" s="75">
        <f>1289626.05+246521.7</f>
        <v>1536147.75</v>
      </c>
      <c r="E13" s="10">
        <f t="shared" ref="E13:E43" si="0">D13/C13</f>
        <v>622.42615478119933</v>
      </c>
      <c r="F13" s="11">
        <f t="shared" ref="F13:F43" si="1">C13/$E$9</f>
        <v>0.33306342780026993</v>
      </c>
      <c r="G13" s="12">
        <f>C13-'August,September,October'!J43</f>
        <v>42</v>
      </c>
      <c r="H13" s="29">
        <f>(D13-'August,September,October'!K43)/'September,October,November'!G13</f>
        <v>1359.3009523809499</v>
      </c>
      <c r="I13" s="31"/>
      <c r="J13" s="52">
        <v>1970</v>
      </c>
      <c r="K13" s="79">
        <v>1053009.83</v>
      </c>
      <c r="L13" s="10">
        <f t="shared" ref="L13:L43" si="2">K13/J13</f>
        <v>534.52275634517775</v>
      </c>
      <c r="M13" s="11">
        <f t="shared" ref="M13:M43" si="3">J13/$L$9</f>
        <v>0.25728091942013842</v>
      </c>
      <c r="N13" s="12">
        <v>30</v>
      </c>
      <c r="O13" s="36">
        <v>443.06</v>
      </c>
      <c r="P13" s="38"/>
      <c r="Q13" s="34">
        <v>1301</v>
      </c>
      <c r="R13" s="64">
        <v>694500.08</v>
      </c>
      <c r="S13" s="60">
        <f t="shared" ref="S13:S43" si="4">R13/Q13</f>
        <v>533.82019984627209</v>
      </c>
      <c r="T13" s="11">
        <f t="shared" ref="T13:T43" si="5">Q13/$S$9</f>
        <v>0.17557354925775978</v>
      </c>
      <c r="U13" s="14">
        <v>0</v>
      </c>
      <c r="V13" s="36">
        <v>0</v>
      </c>
      <c r="W13" s="42"/>
    </row>
    <row r="14" spans="1:25" ht="12" customHeight="1" x14ac:dyDescent="0.25">
      <c r="B14" s="15">
        <f>B13+1</f>
        <v>2</v>
      </c>
      <c r="C14" s="16">
        <f>465+2112</f>
        <v>2577</v>
      </c>
      <c r="D14" s="75">
        <f>447151.97+1184446.26</f>
        <v>1631598.23</v>
      </c>
      <c r="E14" s="10">
        <f t="shared" si="0"/>
        <v>633.13862242918117</v>
      </c>
      <c r="F14" s="11">
        <f t="shared" si="1"/>
        <v>0.34777327935222674</v>
      </c>
      <c r="G14" s="12">
        <f t="shared" ref="G14:G42" si="6">(C14-C13)</f>
        <v>109</v>
      </c>
      <c r="H14" s="29">
        <f t="shared" ref="H14:H43" si="7">(D14-D13)/G14</f>
        <v>875.69247706422004</v>
      </c>
      <c r="I14" s="31"/>
      <c r="J14" s="35">
        <v>1995</v>
      </c>
      <c r="K14" s="75">
        <v>1063918.21</v>
      </c>
      <c r="L14" s="10">
        <f t="shared" si="2"/>
        <v>533.29233583959899</v>
      </c>
      <c r="M14" s="11">
        <f t="shared" si="3"/>
        <v>0.26054590570719605</v>
      </c>
      <c r="N14" s="12">
        <f t="shared" ref="N14:N42" si="8">(J14-J13)</f>
        <v>25</v>
      </c>
      <c r="O14" s="36">
        <f>-(K14-K13)/-N14</f>
        <v>436.33519999999555</v>
      </c>
      <c r="P14" s="38"/>
      <c r="Q14" s="34">
        <v>1305</v>
      </c>
      <c r="R14" s="75">
        <v>696370.91</v>
      </c>
      <c r="S14" s="10">
        <f t="shared" si="4"/>
        <v>533.61755555555555</v>
      </c>
      <c r="T14" s="11">
        <f t="shared" si="5"/>
        <v>0.17611336032388664</v>
      </c>
      <c r="U14" s="14">
        <f t="shared" ref="U14:U42" si="9">Q14-Q13</f>
        <v>4</v>
      </c>
      <c r="V14" s="36">
        <f>(R14-R13)/U14</f>
        <v>467.70750000001863</v>
      </c>
      <c r="W14" s="42"/>
    </row>
    <row r="15" spans="1:25" ht="12" customHeight="1" x14ac:dyDescent="0.25">
      <c r="B15" s="15">
        <f>B14+1</f>
        <v>3</v>
      </c>
      <c r="C15" s="16">
        <f>2033+611</f>
        <v>2644</v>
      </c>
      <c r="D15" s="75">
        <f>575206.12+1116534.31</f>
        <v>1691740.4300000002</v>
      </c>
      <c r="E15" s="10">
        <f t="shared" si="0"/>
        <v>639.84131240544639</v>
      </c>
      <c r="F15" s="11">
        <f t="shared" si="1"/>
        <v>0.35681511470985156</v>
      </c>
      <c r="G15" s="12">
        <f t="shared" si="6"/>
        <v>67</v>
      </c>
      <c r="H15" s="29">
        <f t="shared" si="7"/>
        <v>897.64477611940572</v>
      </c>
      <c r="I15" s="31"/>
      <c r="J15" s="35">
        <v>2030</v>
      </c>
      <c r="K15" s="75">
        <v>1085829.82</v>
      </c>
      <c r="L15" s="10">
        <f t="shared" si="2"/>
        <v>534.89153694581285</v>
      </c>
      <c r="M15" s="11">
        <f t="shared" si="3"/>
        <v>0.26511688650907667</v>
      </c>
      <c r="N15" s="12">
        <f t="shared" si="8"/>
        <v>35</v>
      </c>
      <c r="O15" s="36">
        <f>-(K15-K14)/-N15</f>
        <v>626.04600000000289</v>
      </c>
      <c r="P15" s="38"/>
      <c r="Q15" s="34">
        <v>1318</v>
      </c>
      <c r="R15" s="64">
        <v>702929.24</v>
      </c>
      <c r="S15" s="60">
        <f t="shared" si="4"/>
        <v>533.33022761760242</v>
      </c>
      <c r="T15" s="11">
        <f t="shared" si="5"/>
        <v>0.17786774628879892</v>
      </c>
      <c r="U15" s="14">
        <f t="shared" si="9"/>
        <v>13</v>
      </c>
      <c r="V15" s="36">
        <f t="shared" ref="V15:V43" si="10">(R15-R14)/U15</f>
        <v>504.48692307691988</v>
      </c>
      <c r="W15" s="42"/>
    </row>
    <row r="16" spans="1:25" ht="12" customHeight="1" x14ac:dyDescent="0.25">
      <c r="B16" s="15">
        <v>4</v>
      </c>
      <c r="C16" s="16">
        <f>2032+751</f>
        <v>2783</v>
      </c>
      <c r="D16" s="75">
        <f>1099984.15+685620.04</f>
        <v>1785604.19</v>
      </c>
      <c r="E16" s="10">
        <f t="shared" si="0"/>
        <v>641.61127919511318</v>
      </c>
      <c r="F16" s="11">
        <f t="shared" si="1"/>
        <v>0.37557354925775976</v>
      </c>
      <c r="G16" s="12">
        <f t="shared" si="6"/>
        <v>139</v>
      </c>
      <c r="H16" s="29">
        <f t="shared" si="7"/>
        <v>675.27884892086172</v>
      </c>
      <c r="I16" s="31"/>
      <c r="J16" s="35">
        <v>2135</v>
      </c>
      <c r="K16" s="75">
        <v>1141384.77</v>
      </c>
      <c r="L16" s="10">
        <f t="shared" si="2"/>
        <v>534.60644964871199</v>
      </c>
      <c r="M16" s="11">
        <f t="shared" si="3"/>
        <v>0.27882982891471858</v>
      </c>
      <c r="N16" s="12">
        <f t="shared" si="8"/>
        <v>105</v>
      </c>
      <c r="O16" s="36">
        <f>-(K16-K15)/-N16</f>
        <v>529.09476190476141</v>
      </c>
      <c r="P16" s="38"/>
      <c r="Q16" s="34">
        <v>1368</v>
      </c>
      <c r="R16" s="64">
        <v>733228.27</v>
      </c>
      <c r="S16" s="60">
        <f t="shared" si="4"/>
        <v>535.98557748538008</v>
      </c>
      <c r="T16" s="11">
        <f t="shared" si="5"/>
        <v>0.18461538461538463</v>
      </c>
      <c r="U16" s="14">
        <f t="shared" si="9"/>
        <v>50</v>
      </c>
      <c r="V16" s="36">
        <f t="shared" si="10"/>
        <v>605.98060000000055</v>
      </c>
      <c r="W16" s="42"/>
    </row>
    <row r="17" spans="2:23" ht="12" customHeight="1" x14ac:dyDescent="0.25">
      <c r="B17" s="15">
        <f t="shared" ref="B17:B41" si="11">B16+1</f>
        <v>5</v>
      </c>
      <c r="C17" s="16">
        <f>913+2029</f>
        <v>2942</v>
      </c>
      <c r="D17" s="82">
        <f>806832.88+1076627.36</f>
        <v>1883460.2400000002</v>
      </c>
      <c r="E17" s="10">
        <f t="shared" si="0"/>
        <v>640.19722637661459</v>
      </c>
      <c r="F17" s="11">
        <f t="shared" si="1"/>
        <v>0.39703103913630228</v>
      </c>
      <c r="G17" s="12">
        <f t="shared" si="6"/>
        <v>159</v>
      </c>
      <c r="H17" s="29">
        <f t="shared" si="7"/>
        <v>615.44685534591372</v>
      </c>
      <c r="I17" s="31"/>
      <c r="J17" s="35">
        <v>2646</v>
      </c>
      <c r="K17" s="75">
        <v>1387273.94</v>
      </c>
      <c r="L17" s="10">
        <f t="shared" si="2"/>
        <v>524.29098261526826</v>
      </c>
      <c r="M17" s="11">
        <f t="shared" si="3"/>
        <v>0.34556614862217577</v>
      </c>
      <c r="N17" s="12">
        <f t="shared" si="8"/>
        <v>511</v>
      </c>
      <c r="O17" s="36">
        <f>(K17-K16)/N17</f>
        <v>481.19211350293529</v>
      </c>
      <c r="P17" s="38"/>
      <c r="Q17" s="34">
        <v>1394</v>
      </c>
      <c r="R17" s="64">
        <v>746244.97</v>
      </c>
      <c r="S17" s="60">
        <f t="shared" si="4"/>
        <v>535.3263773314203</v>
      </c>
      <c r="T17" s="11">
        <f t="shared" si="5"/>
        <v>0.18812415654520917</v>
      </c>
      <c r="U17" s="14">
        <f t="shared" si="9"/>
        <v>26</v>
      </c>
      <c r="V17" s="36">
        <f t="shared" si="10"/>
        <v>500.64230769230591</v>
      </c>
      <c r="W17" s="42"/>
    </row>
    <row r="18" spans="2:23" ht="12" customHeight="1" x14ac:dyDescent="0.25">
      <c r="B18" s="15">
        <f t="shared" si="11"/>
        <v>6</v>
      </c>
      <c r="C18" s="16">
        <f>1059+2038</f>
        <v>3097</v>
      </c>
      <c r="D18" s="82">
        <f>912881.26+1092205.81</f>
        <v>2005087.07</v>
      </c>
      <c r="E18" s="10">
        <f t="shared" si="0"/>
        <v>647.42882466903461</v>
      </c>
      <c r="F18" s="11">
        <f t="shared" si="1"/>
        <v>0.41794871794871796</v>
      </c>
      <c r="G18" s="12">
        <f t="shared" si="6"/>
        <v>155</v>
      </c>
      <c r="H18" s="29">
        <f t="shared" si="7"/>
        <v>784.68922580645062</v>
      </c>
      <c r="I18" s="31">
        <v>0</v>
      </c>
      <c r="J18" s="35">
        <v>2726</v>
      </c>
      <c r="K18" s="75">
        <v>1430190.7</v>
      </c>
      <c r="L18" s="10">
        <f t="shared" si="2"/>
        <v>524.64809244314017</v>
      </c>
      <c r="M18" s="11">
        <f t="shared" si="3"/>
        <v>0.35601410474076006</v>
      </c>
      <c r="N18" s="12">
        <f t="shared" si="8"/>
        <v>80</v>
      </c>
      <c r="O18" s="36">
        <f>(K18-K17)/N18</f>
        <v>536.45950000000016</v>
      </c>
      <c r="P18" s="38"/>
      <c r="Q18" s="34">
        <v>1436</v>
      </c>
      <c r="R18" s="64">
        <v>754400.11</v>
      </c>
      <c r="S18" s="60">
        <f t="shared" si="4"/>
        <v>525.34826601671307</v>
      </c>
      <c r="T18" s="11">
        <f t="shared" si="5"/>
        <v>0.19379217273954116</v>
      </c>
      <c r="U18" s="14">
        <f t="shared" si="9"/>
        <v>42</v>
      </c>
      <c r="V18" s="36">
        <f t="shared" si="10"/>
        <v>194.17000000000033</v>
      </c>
      <c r="W18" s="42"/>
    </row>
    <row r="19" spans="2:23" ht="12" customHeight="1" x14ac:dyDescent="0.25">
      <c r="B19" s="15">
        <f t="shared" si="11"/>
        <v>7</v>
      </c>
      <c r="C19" s="16">
        <f>2098+1184</f>
        <v>3282</v>
      </c>
      <c r="D19" s="82">
        <f>1003057.41+1130539.01</f>
        <v>2133596.42</v>
      </c>
      <c r="E19" s="10">
        <f t="shared" si="0"/>
        <v>650.09031687995127</v>
      </c>
      <c r="F19" s="11">
        <f t="shared" si="1"/>
        <v>0.44291497975708505</v>
      </c>
      <c r="G19" s="12">
        <f t="shared" si="6"/>
        <v>185</v>
      </c>
      <c r="H19" s="29">
        <f t="shared" si="7"/>
        <v>694.64513513513441</v>
      </c>
      <c r="I19" s="31"/>
      <c r="J19" s="35">
        <v>2815</v>
      </c>
      <c r="K19" s="75">
        <v>1508325.72</v>
      </c>
      <c r="L19" s="10">
        <f t="shared" si="2"/>
        <v>535.81730728241564</v>
      </c>
      <c r="M19" s="11">
        <f t="shared" si="3"/>
        <v>0.36763745592268515</v>
      </c>
      <c r="N19" s="12">
        <f t="shared" si="8"/>
        <v>89</v>
      </c>
      <c r="O19" s="36">
        <f>-(K19-K18)/-N19</f>
        <v>877.92157303370811</v>
      </c>
      <c r="P19" s="38"/>
      <c r="Q19" s="34">
        <v>1430</v>
      </c>
      <c r="R19" s="64">
        <v>843884.11</v>
      </c>
      <c r="S19" s="60">
        <f t="shared" si="4"/>
        <v>590.12874825174822</v>
      </c>
      <c r="T19" s="11">
        <f t="shared" si="5"/>
        <v>0.19298245614035087</v>
      </c>
      <c r="U19" s="14">
        <f t="shared" si="9"/>
        <v>-6</v>
      </c>
      <c r="V19" s="36">
        <f t="shared" si="10"/>
        <v>-14914</v>
      </c>
      <c r="W19" s="42"/>
    </row>
    <row r="20" spans="2:23" ht="12" customHeight="1" x14ac:dyDescent="0.25">
      <c r="B20" s="15">
        <f t="shared" si="11"/>
        <v>8</v>
      </c>
      <c r="C20" s="16">
        <f>1332+2096</f>
        <v>3428</v>
      </c>
      <c r="D20" s="82">
        <f>1107070.54+1155928.08</f>
        <v>2262998.62</v>
      </c>
      <c r="E20" s="10">
        <f t="shared" si="0"/>
        <v>660.15128938156363</v>
      </c>
      <c r="F20" s="11">
        <f t="shared" si="1"/>
        <v>0.46261808367071527</v>
      </c>
      <c r="G20" s="12">
        <f t="shared" si="6"/>
        <v>146</v>
      </c>
      <c r="H20" s="29">
        <f t="shared" si="7"/>
        <v>886.31643835616569</v>
      </c>
      <c r="I20" s="31"/>
      <c r="J20" s="35">
        <v>2854</v>
      </c>
      <c r="K20" s="75">
        <v>1533011.35</v>
      </c>
      <c r="L20" s="10">
        <f t="shared" si="2"/>
        <v>537.14483181499656</v>
      </c>
      <c r="M20" s="11">
        <f t="shared" si="3"/>
        <v>0.37273083453049499</v>
      </c>
      <c r="N20" s="12">
        <f t="shared" si="8"/>
        <v>39</v>
      </c>
      <c r="O20" s="36">
        <f>(K20-K19)/N20</f>
        <v>632.96487179487485</v>
      </c>
      <c r="P20" s="38"/>
      <c r="Q20" s="34">
        <v>1457</v>
      </c>
      <c r="R20" s="64">
        <v>860605.73</v>
      </c>
      <c r="S20" s="60">
        <f t="shared" si="4"/>
        <v>590.66968428277278</v>
      </c>
      <c r="T20" s="11">
        <f t="shared" si="5"/>
        <v>0.19662618083670716</v>
      </c>
      <c r="U20" s="14">
        <f t="shared" si="9"/>
        <v>27</v>
      </c>
      <c r="V20" s="36">
        <f t="shared" si="10"/>
        <v>619.31925925925907</v>
      </c>
      <c r="W20" s="42"/>
    </row>
    <row r="21" spans="2:23" ht="12" customHeight="1" x14ac:dyDescent="0.25">
      <c r="B21" s="15">
        <f t="shared" si="11"/>
        <v>9</v>
      </c>
      <c r="C21" s="16">
        <f>2022+1452</f>
        <v>3474</v>
      </c>
      <c r="D21" s="82">
        <f>1188898.4+1115820.08</f>
        <v>2304718.48</v>
      </c>
      <c r="E21" s="10">
        <f t="shared" si="0"/>
        <v>663.41925158318941</v>
      </c>
      <c r="F21" s="11">
        <f t="shared" si="1"/>
        <v>0.46882591093117409</v>
      </c>
      <c r="G21" s="12">
        <f t="shared" si="6"/>
        <v>46</v>
      </c>
      <c r="H21" s="29">
        <f t="shared" si="7"/>
        <v>906.95347826086675</v>
      </c>
      <c r="I21" s="31"/>
      <c r="J21" s="35">
        <v>2910</v>
      </c>
      <c r="K21" s="75">
        <v>1558928.13</v>
      </c>
      <c r="L21" s="10">
        <f t="shared" si="2"/>
        <v>535.71413402061853</v>
      </c>
      <c r="M21" s="11">
        <f t="shared" si="3"/>
        <v>0.38004440381350396</v>
      </c>
      <c r="N21" s="12">
        <f t="shared" si="8"/>
        <v>56</v>
      </c>
      <c r="O21" s="36">
        <f t="shared" ref="O21:O43" si="12">(K21-K20)/N21</f>
        <v>462.79964285713919</v>
      </c>
      <c r="P21" s="38"/>
      <c r="Q21" s="34">
        <v>1468</v>
      </c>
      <c r="R21" s="64">
        <v>868293.92</v>
      </c>
      <c r="S21" s="60">
        <f t="shared" si="4"/>
        <v>591.48087193460492</v>
      </c>
      <c r="T21" s="11">
        <f t="shared" si="5"/>
        <v>0.198110661268556</v>
      </c>
      <c r="U21" s="14">
        <f t="shared" si="9"/>
        <v>11</v>
      </c>
      <c r="V21" s="36">
        <f t="shared" si="10"/>
        <v>698.92636363636916</v>
      </c>
      <c r="W21" s="42"/>
    </row>
    <row r="22" spans="2:23" ht="12" customHeight="1" x14ac:dyDescent="0.25">
      <c r="B22" s="15">
        <f t="shared" si="11"/>
        <v>10</v>
      </c>
      <c r="C22" s="16">
        <f>1940+1578</f>
        <v>3518</v>
      </c>
      <c r="D22" s="82">
        <f>1275921.03+1074028.88</f>
        <v>2349949.91</v>
      </c>
      <c r="E22" s="10">
        <f t="shared" si="0"/>
        <v>667.97893973848784</v>
      </c>
      <c r="F22" s="11">
        <f t="shared" si="1"/>
        <v>0.47476383265856947</v>
      </c>
      <c r="G22" s="12">
        <f t="shared" si="6"/>
        <v>44</v>
      </c>
      <c r="H22" s="29">
        <f t="shared" si="7"/>
        <v>1027.9870454545492</v>
      </c>
      <c r="I22" s="31"/>
      <c r="J22" s="35">
        <v>2938</v>
      </c>
      <c r="K22" s="75">
        <v>1574474.85</v>
      </c>
      <c r="L22" s="10">
        <f t="shared" si="2"/>
        <v>535.90022123893812</v>
      </c>
      <c r="M22" s="11">
        <f t="shared" si="3"/>
        <v>0.3837011884550085</v>
      </c>
      <c r="N22" s="12">
        <f t="shared" si="8"/>
        <v>28</v>
      </c>
      <c r="O22" s="36">
        <f t="shared" si="12"/>
        <v>555.24000000000729</v>
      </c>
      <c r="P22" s="38"/>
      <c r="Q22" s="34">
        <v>1497</v>
      </c>
      <c r="R22" s="64">
        <v>890759.93</v>
      </c>
      <c r="S22" s="60">
        <f t="shared" si="4"/>
        <v>595.03001336005343</v>
      </c>
      <c r="T22" s="11">
        <f t="shared" si="5"/>
        <v>0.20202429149797571</v>
      </c>
      <c r="U22" s="14">
        <f t="shared" si="9"/>
        <v>29</v>
      </c>
      <c r="V22" s="36">
        <f t="shared" si="10"/>
        <v>774.69000000000028</v>
      </c>
      <c r="W22" s="42"/>
    </row>
    <row r="23" spans="2:23" ht="12" customHeight="1" x14ac:dyDescent="0.25">
      <c r="B23" s="15">
        <f t="shared" si="11"/>
        <v>11</v>
      </c>
      <c r="C23" s="16">
        <f>1758+1875</f>
        <v>3633</v>
      </c>
      <c r="D23" s="82">
        <f>1035793.65+1399083.36</f>
        <v>2434877.0100000002</v>
      </c>
      <c r="E23" s="10">
        <f t="shared" si="0"/>
        <v>670.21112303881091</v>
      </c>
      <c r="F23" s="11">
        <f t="shared" si="1"/>
        <v>0.49028340080971661</v>
      </c>
      <c r="G23" s="12">
        <f t="shared" si="6"/>
        <v>115</v>
      </c>
      <c r="H23" s="29">
        <f t="shared" si="7"/>
        <v>738.49652173913125</v>
      </c>
      <c r="I23" s="31"/>
      <c r="J23" s="35">
        <v>2952</v>
      </c>
      <c r="K23" s="75">
        <v>1588910.85</v>
      </c>
      <c r="L23" s="10">
        <f t="shared" si="2"/>
        <v>538.2489329268293</v>
      </c>
      <c r="M23" s="11">
        <f t="shared" si="3"/>
        <v>0.38552958077576072</v>
      </c>
      <c r="N23" s="12">
        <f t="shared" si="8"/>
        <v>14</v>
      </c>
      <c r="O23" s="36">
        <f t="shared" si="12"/>
        <v>1031.1428571428571</v>
      </c>
      <c r="P23" s="38"/>
      <c r="Q23" s="34">
        <v>1495</v>
      </c>
      <c r="R23" s="64">
        <v>889094.93</v>
      </c>
      <c r="S23" s="60">
        <f t="shared" si="4"/>
        <v>594.71232775919736</v>
      </c>
      <c r="T23" s="11">
        <f t="shared" si="5"/>
        <v>0.20175438596491227</v>
      </c>
      <c r="U23" s="14">
        <f t="shared" si="9"/>
        <v>-2</v>
      </c>
      <c r="V23" s="36">
        <f t="shared" si="10"/>
        <v>832.5</v>
      </c>
      <c r="W23" s="42"/>
    </row>
    <row r="24" spans="2:23" ht="12" customHeight="1" x14ac:dyDescent="0.25">
      <c r="B24" s="15">
        <f t="shared" si="11"/>
        <v>12</v>
      </c>
      <c r="C24" s="16">
        <f>1946+1745</f>
        <v>3691</v>
      </c>
      <c r="D24" s="82">
        <f>1525419.99+960228.87</f>
        <v>2485648.86</v>
      </c>
      <c r="E24" s="10">
        <f t="shared" si="0"/>
        <v>673.43507450555398</v>
      </c>
      <c r="F24" s="11">
        <f t="shared" si="1"/>
        <v>0.49811066126855602</v>
      </c>
      <c r="G24" s="12">
        <f t="shared" si="6"/>
        <v>58</v>
      </c>
      <c r="H24" s="29">
        <f t="shared" si="7"/>
        <v>875.37672413792461</v>
      </c>
      <c r="I24" s="31">
        <v>635.86</v>
      </c>
      <c r="J24" s="35">
        <v>3009</v>
      </c>
      <c r="K24" s="75">
        <v>1616536.3</v>
      </c>
      <c r="L24" s="10">
        <f t="shared" si="2"/>
        <v>537.23373213692253</v>
      </c>
      <c r="M24" s="11">
        <f t="shared" si="3"/>
        <v>0.39297374951025205</v>
      </c>
      <c r="N24" s="12">
        <f t="shared" si="8"/>
        <v>57</v>
      </c>
      <c r="O24" s="36">
        <f t="shared" si="12"/>
        <v>484.65701754385884</v>
      </c>
      <c r="P24" s="38"/>
      <c r="Q24" s="34">
        <v>1570</v>
      </c>
      <c r="R24" s="64">
        <v>942109.01</v>
      </c>
      <c r="S24" s="60">
        <f t="shared" si="4"/>
        <v>600.06943312101907</v>
      </c>
      <c r="T24" s="11">
        <f t="shared" si="5"/>
        <v>0.21187584345479082</v>
      </c>
      <c r="U24" s="14">
        <f t="shared" si="9"/>
        <v>75</v>
      </c>
      <c r="V24" s="36">
        <f t="shared" si="10"/>
        <v>706.85439999999949</v>
      </c>
      <c r="W24" s="42"/>
    </row>
    <row r="25" spans="2:23" ht="12" customHeight="1" x14ac:dyDescent="0.25">
      <c r="B25" s="15">
        <f t="shared" si="11"/>
        <v>13</v>
      </c>
      <c r="C25" s="16">
        <f>2107+1787</f>
        <v>3894</v>
      </c>
      <c r="D25" s="82">
        <f>975574.74+1635246.53</f>
        <v>2610821.27</v>
      </c>
      <c r="E25" s="10">
        <f t="shared" si="0"/>
        <v>670.4728479712378</v>
      </c>
      <c r="F25" s="11">
        <f t="shared" si="1"/>
        <v>0.52550607287449391</v>
      </c>
      <c r="G25" s="12">
        <f t="shared" si="6"/>
        <v>203</v>
      </c>
      <c r="H25" s="29">
        <f t="shared" si="7"/>
        <v>616.61285714285793</v>
      </c>
      <c r="I25" s="31"/>
      <c r="J25" s="35">
        <v>3131</v>
      </c>
      <c r="K25" s="75">
        <v>1683568.8</v>
      </c>
      <c r="L25" s="10">
        <f t="shared" si="2"/>
        <v>537.70961354199937</v>
      </c>
      <c r="M25" s="11">
        <f t="shared" si="3"/>
        <v>0.40890688259109309</v>
      </c>
      <c r="N25" s="12">
        <f t="shared" si="8"/>
        <v>122</v>
      </c>
      <c r="O25" s="36">
        <f t="shared" si="12"/>
        <v>549.44672131147536</v>
      </c>
      <c r="P25" s="38"/>
      <c r="Q25" s="34">
        <v>1620</v>
      </c>
      <c r="R25" s="64">
        <v>997384.63</v>
      </c>
      <c r="S25" s="60">
        <f t="shared" si="4"/>
        <v>615.66952469135799</v>
      </c>
      <c r="T25" s="11">
        <f t="shared" si="5"/>
        <v>0.21862348178137653</v>
      </c>
      <c r="U25" s="14">
        <f t="shared" si="9"/>
        <v>50</v>
      </c>
      <c r="V25" s="36">
        <f t="shared" si="10"/>
        <v>1105.5123999999998</v>
      </c>
      <c r="W25" s="42"/>
    </row>
    <row r="26" spans="2:23" ht="12" customHeight="1" x14ac:dyDescent="0.25">
      <c r="B26" s="15">
        <f t="shared" si="11"/>
        <v>14</v>
      </c>
      <c r="C26" s="16">
        <f>2262+1777</f>
        <v>4039</v>
      </c>
      <c r="D26" s="82">
        <f>1743051.58+969874.9</f>
        <v>2712926.48</v>
      </c>
      <c r="E26" s="10">
        <f t="shared" si="0"/>
        <v>671.68271354295621</v>
      </c>
      <c r="F26" s="11">
        <f t="shared" si="1"/>
        <v>0.54507422402159245</v>
      </c>
      <c r="G26" s="12">
        <f t="shared" si="6"/>
        <v>145</v>
      </c>
      <c r="H26" s="29">
        <f t="shared" si="7"/>
        <v>704.17386206896526</v>
      </c>
      <c r="I26" s="31"/>
      <c r="J26" s="35">
        <v>3152</v>
      </c>
      <c r="K26" s="75">
        <v>1695792.17</v>
      </c>
      <c r="L26" s="10">
        <f t="shared" si="2"/>
        <v>538.00513007614211</v>
      </c>
      <c r="M26" s="11">
        <f t="shared" si="3"/>
        <v>0.4116494710722215</v>
      </c>
      <c r="N26" s="12">
        <f t="shared" si="8"/>
        <v>21</v>
      </c>
      <c r="O26" s="36">
        <f t="shared" si="12"/>
        <v>582.0652380952323</v>
      </c>
      <c r="P26" s="38"/>
      <c r="Q26" s="34">
        <v>1709</v>
      </c>
      <c r="R26" s="64">
        <v>1062985.56</v>
      </c>
      <c r="S26" s="60">
        <f t="shared" si="4"/>
        <v>621.99272088940904</v>
      </c>
      <c r="T26" s="11">
        <f t="shared" si="5"/>
        <v>0.23063427800269906</v>
      </c>
      <c r="U26" s="14">
        <f t="shared" si="9"/>
        <v>89</v>
      </c>
      <c r="V26" s="36">
        <f t="shared" si="10"/>
        <v>737.08910112359604</v>
      </c>
      <c r="W26" s="42"/>
    </row>
    <row r="27" spans="2:23" ht="12" customHeight="1" x14ac:dyDescent="0.25">
      <c r="B27" s="15">
        <f t="shared" si="11"/>
        <v>15</v>
      </c>
      <c r="C27" s="16">
        <f>1663+2429</f>
        <v>4092</v>
      </c>
      <c r="D27" s="82">
        <f>893266.02+1852241.01</f>
        <v>2745507.0300000003</v>
      </c>
      <c r="E27" s="10">
        <f t="shared" si="0"/>
        <v>670.945021994135</v>
      </c>
      <c r="F27" s="11">
        <f t="shared" si="1"/>
        <v>0.55222672064777323</v>
      </c>
      <c r="G27" s="12">
        <f t="shared" si="6"/>
        <v>53</v>
      </c>
      <c r="H27" s="29">
        <f t="shared" si="7"/>
        <v>614.72735849057131</v>
      </c>
      <c r="I27" s="31"/>
      <c r="J27" s="35">
        <v>3149</v>
      </c>
      <c r="K27" s="75">
        <v>1693343.85</v>
      </c>
      <c r="L27" s="10">
        <f t="shared" si="2"/>
        <v>537.740187361067</v>
      </c>
      <c r="M27" s="11">
        <f t="shared" si="3"/>
        <v>0.41125767271777458</v>
      </c>
      <c r="N27" s="12">
        <f t="shared" si="8"/>
        <v>-3</v>
      </c>
      <c r="O27" s="36">
        <f t="shared" si="12"/>
        <v>816.10666666661075</v>
      </c>
      <c r="P27" s="38"/>
      <c r="Q27" s="34">
        <v>1743</v>
      </c>
      <c r="R27" s="64">
        <v>1098803.8999999999</v>
      </c>
      <c r="S27" s="60">
        <f t="shared" si="4"/>
        <v>630.40958118187029</v>
      </c>
      <c r="T27" s="11">
        <f t="shared" si="5"/>
        <v>0.23522267206477732</v>
      </c>
      <c r="U27" s="14">
        <f t="shared" si="9"/>
        <v>34</v>
      </c>
      <c r="V27" s="36">
        <f t="shared" si="10"/>
        <v>1053.4805882352898</v>
      </c>
      <c r="W27" s="42"/>
    </row>
    <row r="28" spans="2:23" ht="12" customHeight="1" x14ac:dyDescent="0.25">
      <c r="B28" s="15">
        <f t="shared" si="11"/>
        <v>16</v>
      </c>
      <c r="C28" s="16">
        <f>2565+1555</f>
        <v>4120</v>
      </c>
      <c r="D28" s="82">
        <f>1941189.69+838063.42</f>
        <v>2779253.11</v>
      </c>
      <c r="E28" s="10">
        <f t="shared" si="0"/>
        <v>674.57599757281548</v>
      </c>
      <c r="F28" s="11">
        <f t="shared" si="1"/>
        <v>0.5560053981106613</v>
      </c>
      <c r="G28" s="12">
        <f t="shared" si="6"/>
        <v>28</v>
      </c>
      <c r="H28" s="29">
        <f t="shared" si="7"/>
        <v>1205.2171428571289</v>
      </c>
      <c r="I28" s="31"/>
      <c r="J28" s="35">
        <v>3140</v>
      </c>
      <c r="K28" s="75">
        <v>1684318.87</v>
      </c>
      <c r="L28" s="10">
        <f t="shared" si="2"/>
        <v>536.40728343949047</v>
      </c>
      <c r="M28" s="11">
        <f t="shared" si="3"/>
        <v>0.41008227765443384</v>
      </c>
      <c r="N28" s="12">
        <f t="shared" si="8"/>
        <v>-9</v>
      </c>
      <c r="O28" s="36">
        <f t="shared" si="12"/>
        <v>1002.7755555555535</v>
      </c>
      <c r="P28" s="38"/>
      <c r="Q28" s="34">
        <v>1793</v>
      </c>
      <c r="R28" s="64">
        <v>1130682.71</v>
      </c>
      <c r="S28" s="60">
        <f t="shared" si="4"/>
        <v>630.6094311210262</v>
      </c>
      <c r="T28" s="11">
        <f t="shared" si="5"/>
        <v>0.24197031039136302</v>
      </c>
      <c r="U28" s="14">
        <f t="shared" si="9"/>
        <v>50</v>
      </c>
      <c r="V28" s="36">
        <f t="shared" si="10"/>
        <v>637.57620000000111</v>
      </c>
      <c r="W28" s="42"/>
    </row>
    <row r="29" spans="2:23" ht="12" customHeight="1" x14ac:dyDescent="0.25">
      <c r="B29" s="15">
        <f t="shared" si="11"/>
        <v>17</v>
      </c>
      <c r="C29" s="16">
        <f>1469+2686</f>
        <v>4155</v>
      </c>
      <c r="D29" s="83">
        <f>790436.51+2027279.85</f>
        <v>2817716.3600000003</v>
      </c>
      <c r="E29" s="10">
        <f t="shared" si="0"/>
        <v>678.15074849578832</v>
      </c>
      <c r="F29" s="11">
        <f t="shared" si="1"/>
        <v>0.56072874493927127</v>
      </c>
      <c r="G29" s="12">
        <f t="shared" si="6"/>
        <v>35</v>
      </c>
      <c r="H29" s="29">
        <f t="shared" si="7"/>
        <v>1098.9500000000132</v>
      </c>
      <c r="I29" s="31"/>
      <c r="J29" s="35">
        <v>3169</v>
      </c>
      <c r="K29" s="102">
        <v>1702304.68</v>
      </c>
      <c r="L29" s="10">
        <f t="shared" si="2"/>
        <v>537.17408646260651</v>
      </c>
      <c r="M29" s="11">
        <f t="shared" si="3"/>
        <v>0.41386966174742068</v>
      </c>
      <c r="N29" s="12">
        <f t="shared" si="8"/>
        <v>29</v>
      </c>
      <c r="O29" s="36">
        <f t="shared" si="12"/>
        <v>620.20034482758012</v>
      </c>
      <c r="P29" s="38"/>
      <c r="Q29" s="34">
        <v>1784</v>
      </c>
      <c r="R29" s="64">
        <v>1124943.71</v>
      </c>
      <c r="S29" s="60">
        <f t="shared" si="4"/>
        <v>630.57382847533631</v>
      </c>
      <c r="T29" s="11">
        <f t="shared" si="5"/>
        <v>0.24075573549257759</v>
      </c>
      <c r="U29" s="14">
        <f t="shared" si="9"/>
        <v>-9</v>
      </c>
      <c r="V29" s="36">
        <f t="shared" si="10"/>
        <v>637.66666666666663</v>
      </c>
      <c r="W29" s="42"/>
    </row>
    <row r="30" spans="2:23" ht="12" customHeight="1" x14ac:dyDescent="0.25">
      <c r="B30" s="15">
        <f t="shared" si="11"/>
        <v>18</v>
      </c>
      <c r="C30" s="16">
        <f>2813+1411</f>
        <v>4224</v>
      </c>
      <c r="D30" s="84">
        <f>740552.74+2117290.41</f>
        <v>2857843.1500000004</v>
      </c>
      <c r="E30" s="10">
        <f t="shared" si="0"/>
        <v>676.57271543560614</v>
      </c>
      <c r="F30" s="11">
        <f t="shared" si="1"/>
        <v>0.57004048582995948</v>
      </c>
      <c r="G30" s="12">
        <f t="shared" si="6"/>
        <v>69</v>
      </c>
      <c r="H30" s="29">
        <f t="shared" si="7"/>
        <v>581.54768115942079</v>
      </c>
      <c r="I30" s="31"/>
      <c r="J30" s="35">
        <v>3238</v>
      </c>
      <c r="K30" s="75">
        <v>1740378.02</v>
      </c>
      <c r="L30" s="10">
        <f t="shared" si="2"/>
        <v>537.48549104385427</v>
      </c>
      <c r="M30" s="11">
        <f t="shared" si="3"/>
        <v>0.42288102389969962</v>
      </c>
      <c r="N30" s="12">
        <f t="shared" si="8"/>
        <v>69</v>
      </c>
      <c r="O30" s="36">
        <f t="shared" si="12"/>
        <v>551.78753623188527</v>
      </c>
      <c r="P30" s="38"/>
      <c r="Q30" s="34">
        <v>1800</v>
      </c>
      <c r="R30" s="64">
        <v>1133391.7</v>
      </c>
      <c r="S30" s="60">
        <f t="shared" si="4"/>
        <v>629.66205555555553</v>
      </c>
      <c r="T30" s="11">
        <f t="shared" si="5"/>
        <v>0.24291497975708501</v>
      </c>
      <c r="U30" s="14">
        <f t="shared" si="9"/>
        <v>16</v>
      </c>
      <c r="V30" s="36">
        <f t="shared" si="10"/>
        <v>527.99937499999942</v>
      </c>
      <c r="W30" s="42"/>
    </row>
    <row r="31" spans="2:23" ht="12" customHeight="1" x14ac:dyDescent="0.25">
      <c r="B31" s="15">
        <f t="shared" si="11"/>
        <v>19</v>
      </c>
      <c r="C31" s="16">
        <f>2992+1370</f>
        <v>4362</v>
      </c>
      <c r="D31" s="84">
        <f>714887.28+2222868.09</f>
        <v>2937755.37</v>
      </c>
      <c r="E31" s="10">
        <f t="shared" si="0"/>
        <v>673.48816368638245</v>
      </c>
      <c r="F31" s="11">
        <f t="shared" si="1"/>
        <v>0.58866396761133599</v>
      </c>
      <c r="G31" s="12">
        <f t="shared" si="6"/>
        <v>138</v>
      </c>
      <c r="H31" s="29">
        <f t="shared" si="7"/>
        <v>579.07405797101262</v>
      </c>
      <c r="I31" s="31"/>
      <c r="J31" s="35">
        <v>3308</v>
      </c>
      <c r="K31" s="75">
        <v>1785231.41</v>
      </c>
      <c r="L31" s="10">
        <f t="shared" si="2"/>
        <v>539.67092200725506</v>
      </c>
      <c r="M31" s="11">
        <f t="shared" si="3"/>
        <v>0.43202298550346091</v>
      </c>
      <c r="N31" s="12">
        <f t="shared" si="8"/>
        <v>70</v>
      </c>
      <c r="O31" s="36">
        <f t="shared" si="12"/>
        <v>640.76271428571283</v>
      </c>
      <c r="P31" s="38"/>
      <c r="Q31" s="34">
        <v>1764</v>
      </c>
      <c r="R31" s="64">
        <v>1088991.02</v>
      </c>
      <c r="S31" s="60">
        <f t="shared" si="4"/>
        <v>617.34184807256236</v>
      </c>
      <c r="T31" s="11">
        <f t="shared" si="5"/>
        <v>0.23805668016194331</v>
      </c>
      <c r="U31" s="14">
        <f t="shared" si="9"/>
        <v>-36</v>
      </c>
      <c r="V31" s="36">
        <f t="shared" si="10"/>
        <v>1233.3522222222205</v>
      </c>
      <c r="W31" s="42"/>
    </row>
    <row r="32" spans="2:23" ht="12" customHeight="1" x14ac:dyDescent="0.25">
      <c r="B32" s="15">
        <f t="shared" si="11"/>
        <v>20</v>
      </c>
      <c r="C32" s="16">
        <f>3142+1260</f>
        <v>4402</v>
      </c>
      <c r="D32" s="84">
        <f>677229.93+2318355.29</f>
        <v>2995585.22</v>
      </c>
      <c r="E32" s="10">
        <f t="shared" si="0"/>
        <v>680.50550204452531</v>
      </c>
      <c r="F32" s="11">
        <f t="shared" si="1"/>
        <v>0.5940620782726046</v>
      </c>
      <c r="G32" s="12">
        <f t="shared" si="6"/>
        <v>40</v>
      </c>
      <c r="H32" s="29">
        <f t="shared" si="7"/>
        <v>1445.7462500000024</v>
      </c>
      <c r="I32" s="31"/>
      <c r="J32" s="35">
        <v>3504</v>
      </c>
      <c r="K32" s="75">
        <v>1922219.17</v>
      </c>
      <c r="L32" s="10">
        <f t="shared" si="2"/>
        <v>548.5785302511415</v>
      </c>
      <c r="M32" s="11">
        <f t="shared" si="3"/>
        <v>0.45762047799399241</v>
      </c>
      <c r="N32" s="12">
        <f t="shared" si="8"/>
        <v>196</v>
      </c>
      <c r="O32" s="36">
        <f t="shared" si="12"/>
        <v>698.91714285714295</v>
      </c>
      <c r="P32" s="38"/>
      <c r="Q32" s="34">
        <v>1773</v>
      </c>
      <c r="R32" s="64">
        <v>1095171.04</v>
      </c>
      <c r="S32" s="60">
        <f t="shared" si="4"/>
        <v>617.69376198533564</v>
      </c>
      <c r="T32" s="11">
        <f t="shared" si="5"/>
        <v>0.23927125506072874</v>
      </c>
      <c r="U32" s="14">
        <f t="shared" si="9"/>
        <v>9</v>
      </c>
      <c r="V32" s="36">
        <f t="shared" si="10"/>
        <v>686.66888888889093</v>
      </c>
      <c r="W32" s="42"/>
    </row>
    <row r="33" spans="2:23" ht="12" customHeight="1" x14ac:dyDescent="0.25">
      <c r="B33" s="15">
        <f t="shared" si="11"/>
        <v>21</v>
      </c>
      <c r="C33" s="16">
        <f>1240+3296</f>
        <v>4536</v>
      </c>
      <c r="D33" s="82">
        <f>671702.07+2422413.1</f>
        <v>3094115.17</v>
      </c>
      <c r="E33" s="10">
        <f t="shared" si="0"/>
        <v>682.12415564373896</v>
      </c>
      <c r="F33" s="11">
        <f t="shared" si="1"/>
        <v>0.61214574898785423</v>
      </c>
      <c r="G33" s="12">
        <f t="shared" si="6"/>
        <v>134</v>
      </c>
      <c r="H33" s="29">
        <f t="shared" si="7"/>
        <v>735.29813432835613</v>
      </c>
      <c r="I33" s="31"/>
      <c r="J33" s="35">
        <v>3621</v>
      </c>
      <c r="K33" s="75">
        <v>1979854.19</v>
      </c>
      <c r="L33" s="10">
        <f t="shared" si="2"/>
        <v>546.77000552333607</v>
      </c>
      <c r="M33" s="11">
        <f t="shared" si="3"/>
        <v>0.47290061381742199</v>
      </c>
      <c r="N33" s="12">
        <f t="shared" si="8"/>
        <v>117</v>
      </c>
      <c r="O33" s="36">
        <f t="shared" si="12"/>
        <v>492.60700854700872</v>
      </c>
      <c r="P33" s="38"/>
      <c r="Q33" s="34">
        <v>1816</v>
      </c>
      <c r="R33" s="64">
        <v>1123772.72</v>
      </c>
      <c r="S33" s="60">
        <f t="shared" si="4"/>
        <v>618.81757709251099</v>
      </c>
      <c r="T33" s="11">
        <f t="shared" si="5"/>
        <v>0.24507422402159243</v>
      </c>
      <c r="U33" s="14">
        <f t="shared" si="9"/>
        <v>43</v>
      </c>
      <c r="V33" s="36">
        <f t="shared" si="10"/>
        <v>665.15534883720784</v>
      </c>
      <c r="W33" s="42"/>
    </row>
    <row r="34" spans="2:23" ht="12" customHeight="1" x14ac:dyDescent="0.25">
      <c r="B34" s="15">
        <f t="shared" si="11"/>
        <v>22</v>
      </c>
      <c r="C34" s="16">
        <f>1133+3464</f>
        <v>4597</v>
      </c>
      <c r="D34" s="82">
        <f>613431.93+2534580.3</f>
        <v>3148012.23</v>
      </c>
      <c r="E34" s="10">
        <f t="shared" si="0"/>
        <v>684.79709158146613</v>
      </c>
      <c r="F34" s="11">
        <f t="shared" si="1"/>
        <v>0.62037786774628878</v>
      </c>
      <c r="G34" s="12">
        <f t="shared" si="6"/>
        <v>61</v>
      </c>
      <c r="H34" s="29">
        <f t="shared" si="7"/>
        <v>883.55836065573862</v>
      </c>
      <c r="I34" s="31"/>
      <c r="J34" s="35">
        <v>3892</v>
      </c>
      <c r="K34" s="75">
        <v>2097889.6</v>
      </c>
      <c r="L34" s="10">
        <f t="shared" si="2"/>
        <v>539.02610483042145</v>
      </c>
      <c r="M34" s="11">
        <f t="shared" si="3"/>
        <v>0.50829306516912631</v>
      </c>
      <c r="N34" s="12">
        <f t="shared" si="8"/>
        <v>271</v>
      </c>
      <c r="O34" s="36">
        <f t="shared" si="12"/>
        <v>435.55501845018506</v>
      </c>
      <c r="P34" s="38"/>
      <c r="Q34" s="34">
        <v>1936</v>
      </c>
      <c r="R34" s="64">
        <v>1214292.68</v>
      </c>
      <c r="S34" s="60">
        <f t="shared" si="4"/>
        <v>627.21729338842977</v>
      </c>
      <c r="T34" s="11">
        <f t="shared" si="5"/>
        <v>0.26126855600539811</v>
      </c>
      <c r="U34" s="14">
        <f t="shared" si="9"/>
        <v>120</v>
      </c>
      <c r="V34" s="36">
        <f t="shared" si="10"/>
        <v>754.33299999999974</v>
      </c>
      <c r="W34" s="42"/>
    </row>
    <row r="35" spans="2:23" ht="12" customHeight="1" x14ac:dyDescent="0.25">
      <c r="B35" s="15">
        <f t="shared" si="11"/>
        <v>23</v>
      </c>
      <c r="C35" s="16">
        <f>3651+978</f>
        <v>4629</v>
      </c>
      <c r="D35" s="82">
        <f>528674.09+2655441.85</f>
        <v>3184115.94</v>
      </c>
      <c r="E35" s="10">
        <f t="shared" si="0"/>
        <v>687.86259235255989</v>
      </c>
      <c r="F35" s="11">
        <f t="shared" si="1"/>
        <v>0.62469635627530362</v>
      </c>
      <c r="G35" s="12">
        <f t="shared" si="6"/>
        <v>32</v>
      </c>
      <c r="H35" s="29">
        <f t="shared" si="7"/>
        <v>1128.2409374999988</v>
      </c>
      <c r="I35" s="31"/>
      <c r="J35" s="35">
        <v>3938</v>
      </c>
      <c r="K35" s="75">
        <v>2125110.5699999998</v>
      </c>
      <c r="L35" s="10">
        <f t="shared" si="2"/>
        <v>539.64209497206696</v>
      </c>
      <c r="M35" s="11">
        <f t="shared" si="3"/>
        <v>0.51430063993731223</v>
      </c>
      <c r="N35" s="12">
        <f t="shared" si="8"/>
        <v>46</v>
      </c>
      <c r="O35" s="36">
        <f t="shared" si="12"/>
        <v>591.76021739129862</v>
      </c>
      <c r="P35" s="38"/>
      <c r="Q35" s="34">
        <v>1948</v>
      </c>
      <c r="R35" s="64">
        <v>1224012.68</v>
      </c>
      <c r="S35" s="60">
        <f t="shared" si="4"/>
        <v>628.34326488706358</v>
      </c>
      <c r="T35" s="11">
        <f t="shared" si="5"/>
        <v>0.2628879892037787</v>
      </c>
      <c r="U35" s="14">
        <f t="shared" si="9"/>
        <v>12</v>
      </c>
      <c r="V35" s="36">
        <f t="shared" si="10"/>
        <v>810</v>
      </c>
      <c r="W35" s="42"/>
    </row>
    <row r="36" spans="2:23" ht="12" customHeight="1" x14ac:dyDescent="0.25">
      <c r="B36" s="15">
        <f t="shared" si="11"/>
        <v>24</v>
      </c>
      <c r="C36" s="16">
        <f>3774+860</f>
        <v>4634</v>
      </c>
      <c r="D36" s="82">
        <f>2747999.19+469235.23</f>
        <v>3217234.42</v>
      </c>
      <c r="E36" s="10">
        <f t="shared" si="0"/>
        <v>694.2672464393612</v>
      </c>
      <c r="F36" s="11">
        <f t="shared" si="1"/>
        <v>0.62537112010796225</v>
      </c>
      <c r="G36" s="12">
        <f t="shared" si="6"/>
        <v>5</v>
      </c>
      <c r="H36" s="29">
        <f t="shared" si="7"/>
        <v>6623.6959999999963</v>
      </c>
      <c r="I36" s="31"/>
      <c r="J36" s="35">
        <v>3957</v>
      </c>
      <c r="K36" s="75">
        <v>2131651.7599999998</v>
      </c>
      <c r="L36" s="10">
        <f t="shared" si="2"/>
        <v>538.70400808693444</v>
      </c>
      <c r="M36" s="11">
        <f t="shared" si="3"/>
        <v>0.51678202951547603</v>
      </c>
      <c r="N36" s="12">
        <f t="shared" si="8"/>
        <v>19</v>
      </c>
      <c r="O36" s="36">
        <f t="shared" si="12"/>
        <v>344.27315789473391</v>
      </c>
      <c r="P36" s="38"/>
      <c r="Q36" s="34">
        <v>1961</v>
      </c>
      <c r="R36" s="64">
        <v>1233016.03</v>
      </c>
      <c r="S36" s="60">
        <f t="shared" si="4"/>
        <v>628.76901070882207</v>
      </c>
      <c r="T36" s="11">
        <f t="shared" si="5"/>
        <v>0.26464237516869094</v>
      </c>
      <c r="U36" s="14">
        <f t="shared" si="9"/>
        <v>13</v>
      </c>
      <c r="V36" s="36">
        <f t="shared" si="10"/>
        <v>692.56538461539174</v>
      </c>
      <c r="W36" s="42"/>
    </row>
    <row r="37" spans="2:23" ht="12" customHeight="1" x14ac:dyDescent="0.25">
      <c r="B37" s="15">
        <f t="shared" si="11"/>
        <v>25</v>
      </c>
      <c r="C37" s="16">
        <f>789+3925</f>
        <v>4714</v>
      </c>
      <c r="D37" s="82">
        <f>2845923.81+414684.08</f>
        <v>3260607.89</v>
      </c>
      <c r="E37" s="10">
        <f t="shared" si="0"/>
        <v>691.68601824352993</v>
      </c>
      <c r="F37" s="11">
        <f t="shared" si="1"/>
        <v>0.63616734143049936</v>
      </c>
      <c r="G37" s="12">
        <f t="shared" si="6"/>
        <v>80</v>
      </c>
      <c r="H37" s="29">
        <f t="shared" si="7"/>
        <v>542.16837500000258</v>
      </c>
      <c r="I37" s="31"/>
      <c r="J37" s="35">
        <v>4147</v>
      </c>
      <c r="K37" s="75">
        <v>2187666.63</v>
      </c>
      <c r="L37" s="10">
        <f t="shared" si="2"/>
        <v>527.52993248131179</v>
      </c>
      <c r="M37" s="11">
        <f t="shared" si="3"/>
        <v>0.54159592529711376</v>
      </c>
      <c r="N37" s="12">
        <f t="shared" si="8"/>
        <v>190</v>
      </c>
      <c r="O37" s="36">
        <f t="shared" si="12"/>
        <v>294.8151052631585</v>
      </c>
      <c r="P37" s="38"/>
      <c r="Q37" s="34">
        <v>1962</v>
      </c>
      <c r="R37" s="64">
        <v>1239203.03</v>
      </c>
      <c r="S37" s="60">
        <f t="shared" si="4"/>
        <v>631.60195208970435</v>
      </c>
      <c r="T37" s="11">
        <f t="shared" si="5"/>
        <v>0.26477732793522268</v>
      </c>
      <c r="U37" s="14">
        <f t="shared" si="9"/>
        <v>1</v>
      </c>
      <c r="V37" s="36">
        <f t="shared" si="10"/>
        <v>6187</v>
      </c>
      <c r="W37" s="42"/>
    </row>
    <row r="38" spans="2:23" ht="12" customHeight="1" x14ac:dyDescent="0.25">
      <c r="B38" s="15">
        <f t="shared" si="11"/>
        <v>26</v>
      </c>
      <c r="C38" s="16">
        <f>681+4075</f>
        <v>4756</v>
      </c>
      <c r="D38" s="82">
        <f>350431.69+2943832.48</f>
        <v>3294264.17</v>
      </c>
      <c r="E38" s="10">
        <f t="shared" si="0"/>
        <v>692.65436711522284</v>
      </c>
      <c r="F38" s="11">
        <f t="shared" si="1"/>
        <v>0.64183535762483135</v>
      </c>
      <c r="G38" s="12">
        <f t="shared" si="6"/>
        <v>42</v>
      </c>
      <c r="H38" s="36">
        <f t="shared" si="7"/>
        <v>801.33999999999514</v>
      </c>
      <c r="I38" s="31"/>
      <c r="J38" s="35">
        <v>4231</v>
      </c>
      <c r="K38" s="75">
        <v>2230398.25</v>
      </c>
      <c r="L38" s="10">
        <f t="shared" si="2"/>
        <v>527.15628692980385</v>
      </c>
      <c r="M38" s="11">
        <f t="shared" si="3"/>
        <v>0.55256627922162727</v>
      </c>
      <c r="N38" s="12">
        <f t="shared" si="8"/>
        <v>84</v>
      </c>
      <c r="O38" s="36">
        <f t="shared" si="12"/>
        <v>508.70976190476324</v>
      </c>
      <c r="P38" s="38"/>
      <c r="Q38" s="34">
        <v>2011</v>
      </c>
      <c r="R38" s="64">
        <v>1283539.43</v>
      </c>
      <c r="S38" s="60">
        <f t="shared" si="4"/>
        <v>638.25928891098954</v>
      </c>
      <c r="T38" s="11">
        <f t="shared" si="5"/>
        <v>0.27139001349527664</v>
      </c>
      <c r="U38" s="14">
        <f t="shared" si="9"/>
        <v>49</v>
      </c>
      <c r="V38" s="36">
        <f t="shared" si="10"/>
        <v>904.82448979591652</v>
      </c>
      <c r="W38" s="42"/>
    </row>
    <row r="39" spans="2:23" ht="12" customHeight="1" x14ac:dyDescent="0.25">
      <c r="B39" s="15">
        <f t="shared" si="11"/>
        <v>27</v>
      </c>
      <c r="C39" s="16">
        <f>532+4249</f>
        <v>4781</v>
      </c>
      <c r="D39" s="82">
        <f>265359.75+3062490.54</f>
        <v>3327850.29</v>
      </c>
      <c r="E39" s="10">
        <f t="shared" si="0"/>
        <v>696.05737084291991</v>
      </c>
      <c r="F39" s="11">
        <f t="shared" si="1"/>
        <v>0.64520917678812417</v>
      </c>
      <c r="G39" s="12">
        <f t="shared" si="6"/>
        <v>25</v>
      </c>
      <c r="H39" s="36">
        <f t="shared" si="7"/>
        <v>1343.4448000000045</v>
      </c>
      <c r="I39" s="31"/>
      <c r="J39" s="35">
        <v>4450</v>
      </c>
      <c r="K39" s="75">
        <v>2374503.6800000002</v>
      </c>
      <c r="L39" s="10">
        <f t="shared" si="2"/>
        <v>533.5963325842697</v>
      </c>
      <c r="M39" s="11">
        <f t="shared" si="3"/>
        <v>0.58116755909625184</v>
      </c>
      <c r="N39" s="12">
        <f t="shared" si="8"/>
        <v>219</v>
      </c>
      <c r="O39" s="36">
        <f>(K39-K38)/N39</f>
        <v>658.01566210045735</v>
      </c>
      <c r="P39" s="38"/>
      <c r="Q39" s="34">
        <v>2121</v>
      </c>
      <c r="R39" s="64">
        <v>1380242.92</v>
      </c>
      <c r="S39" s="60">
        <f t="shared" si="4"/>
        <v>650.75102310231023</v>
      </c>
      <c r="T39" s="11">
        <f t="shared" si="5"/>
        <v>0.2862348178137652</v>
      </c>
      <c r="U39" s="14">
        <f t="shared" si="9"/>
        <v>110</v>
      </c>
      <c r="V39" s="36">
        <f t="shared" si="10"/>
        <v>879.12263636363627</v>
      </c>
      <c r="W39" s="42"/>
    </row>
    <row r="40" spans="2:23" ht="12" customHeight="1" x14ac:dyDescent="0.25">
      <c r="B40" s="15">
        <f t="shared" si="11"/>
        <v>28</v>
      </c>
      <c r="C40" s="16">
        <f>376+4449</f>
        <v>4825</v>
      </c>
      <c r="D40" s="82">
        <f>189953.45+3207670.58</f>
        <v>3397624.0300000003</v>
      </c>
      <c r="E40" s="10">
        <f t="shared" si="0"/>
        <v>704.1707834196892</v>
      </c>
      <c r="F40" s="11">
        <f t="shared" si="1"/>
        <v>0.65114709851551955</v>
      </c>
      <c r="G40" s="12">
        <f t="shared" si="6"/>
        <v>44</v>
      </c>
      <c r="H40" s="36">
        <f>(D40-D39)/G40</f>
        <v>1585.7668181818233</v>
      </c>
      <c r="I40" s="31"/>
      <c r="J40" s="35">
        <v>4517</v>
      </c>
      <c r="K40" s="75">
        <v>2418212.17</v>
      </c>
      <c r="L40" s="10">
        <f t="shared" si="2"/>
        <v>535.35801859641356</v>
      </c>
      <c r="M40" s="11">
        <f t="shared" si="3"/>
        <v>0.58991772234556616</v>
      </c>
      <c r="N40" s="12">
        <f t="shared" si="8"/>
        <v>67</v>
      </c>
      <c r="O40" s="36">
        <f t="shared" si="12"/>
        <v>652.36552238805609</v>
      </c>
      <c r="P40" s="38"/>
      <c r="Q40" s="34">
        <v>2143</v>
      </c>
      <c r="R40" s="64">
        <v>1399013.64</v>
      </c>
      <c r="S40" s="60">
        <f t="shared" si="4"/>
        <v>652.82951003266442</v>
      </c>
      <c r="T40" s="11">
        <f t="shared" si="5"/>
        <v>0.28920377867746289</v>
      </c>
      <c r="U40" s="14">
        <f t="shared" si="9"/>
        <v>22</v>
      </c>
      <c r="V40" s="36">
        <f t="shared" si="10"/>
        <v>853.21454545454424</v>
      </c>
      <c r="W40" s="42"/>
    </row>
    <row r="41" spans="2:23" ht="12" customHeight="1" x14ac:dyDescent="0.25">
      <c r="B41" s="15">
        <f t="shared" si="11"/>
        <v>29</v>
      </c>
      <c r="C41" s="16">
        <f>4659+176</f>
        <v>4835</v>
      </c>
      <c r="D41" s="82">
        <f>86096.22+3335488.21</f>
        <v>3421584.43</v>
      </c>
      <c r="E41" s="10">
        <f t="shared" si="0"/>
        <v>707.66999586349539</v>
      </c>
      <c r="F41" s="11">
        <f t="shared" si="1"/>
        <v>0.6524966261808367</v>
      </c>
      <c r="G41" s="12">
        <f t="shared" si="6"/>
        <v>10</v>
      </c>
      <c r="H41" s="29">
        <f>(D41-D40)/G41</f>
        <v>2396.0399999999909</v>
      </c>
      <c r="I41" s="31">
        <v>0</v>
      </c>
      <c r="J41" s="35">
        <v>4652</v>
      </c>
      <c r="K41" s="75">
        <v>2501687.23</v>
      </c>
      <c r="L41" s="10">
        <f t="shared" si="2"/>
        <v>537.76595657781604</v>
      </c>
      <c r="M41" s="11">
        <f t="shared" si="3"/>
        <v>0.60754864829567712</v>
      </c>
      <c r="N41" s="12">
        <f t="shared" si="8"/>
        <v>135</v>
      </c>
      <c r="O41" s="36">
        <f t="shared" si="12"/>
        <v>618.33377777777821</v>
      </c>
      <c r="P41" s="38"/>
      <c r="Q41" s="34">
        <v>2219</v>
      </c>
      <c r="R41" s="64">
        <v>1457710.66</v>
      </c>
      <c r="S41" s="60">
        <f t="shared" si="4"/>
        <v>656.922334384858</v>
      </c>
      <c r="T41" s="11">
        <f t="shared" si="5"/>
        <v>0.29946018893387316</v>
      </c>
      <c r="U41" s="14">
        <f t="shared" si="9"/>
        <v>76</v>
      </c>
      <c r="V41" s="36">
        <f t="shared" si="10"/>
        <v>772.32921052631605</v>
      </c>
      <c r="W41" s="42"/>
    </row>
    <row r="42" spans="2:23" ht="12" customHeight="1" x14ac:dyDescent="0.25">
      <c r="B42" s="15">
        <v>30</v>
      </c>
      <c r="C42" s="16">
        <v>4830</v>
      </c>
      <c r="D42" s="82">
        <v>3440045.94</v>
      </c>
      <c r="E42" s="111">
        <f t="shared" si="0"/>
        <v>712.22483229813668</v>
      </c>
      <c r="F42" s="112">
        <f t="shared" si="1"/>
        <v>0.65182186234817818</v>
      </c>
      <c r="G42" s="113">
        <f t="shared" si="6"/>
        <v>-5</v>
      </c>
      <c r="H42" s="114">
        <f t="shared" si="7"/>
        <v>-3692.3019999999551</v>
      </c>
      <c r="I42" s="115"/>
      <c r="J42" s="35">
        <v>4669</v>
      </c>
      <c r="K42" s="116">
        <v>2509120.59</v>
      </c>
      <c r="L42" s="111">
        <f t="shared" si="2"/>
        <v>537.39999785821374</v>
      </c>
      <c r="M42" s="112">
        <f t="shared" si="3"/>
        <v>0.6097688389708763</v>
      </c>
      <c r="N42" s="113">
        <f t="shared" si="8"/>
        <v>17</v>
      </c>
      <c r="O42" s="117">
        <f t="shared" si="12"/>
        <v>437.25647058822761</v>
      </c>
      <c r="P42" s="118"/>
      <c r="Q42" s="35">
        <v>2248</v>
      </c>
      <c r="R42" s="119">
        <v>1481853.97</v>
      </c>
      <c r="S42" s="120">
        <f t="shared" si="4"/>
        <v>659.18770907473311</v>
      </c>
      <c r="T42" s="112">
        <f t="shared" si="5"/>
        <v>0.30337381916329287</v>
      </c>
      <c r="U42" s="121">
        <f t="shared" si="9"/>
        <v>29</v>
      </c>
      <c r="V42" s="117">
        <f t="shared" si="10"/>
        <v>832.52793103448471</v>
      </c>
      <c r="W42" s="42"/>
    </row>
    <row r="43" spans="2:23" ht="11.25" customHeight="1" thickBot="1" x14ac:dyDescent="0.3">
      <c r="B43" s="17">
        <v>31</v>
      </c>
      <c r="C43" s="18"/>
      <c r="D43" s="88"/>
      <c r="E43" s="19" t="e">
        <f t="shared" si="0"/>
        <v>#DIV/0!</v>
      </c>
      <c r="F43" s="20">
        <f t="shared" si="1"/>
        <v>0</v>
      </c>
      <c r="G43" s="122">
        <v>0</v>
      </c>
      <c r="H43" s="90" t="e">
        <f t="shared" si="7"/>
        <v>#DIV/0!</v>
      </c>
      <c r="I43" s="32"/>
      <c r="J43" s="37"/>
      <c r="K43" s="80"/>
      <c r="L43" s="19" t="e">
        <f t="shared" si="2"/>
        <v>#DIV/0!</v>
      </c>
      <c r="M43" s="20">
        <f t="shared" si="3"/>
        <v>0</v>
      </c>
      <c r="N43" s="122">
        <v>0</v>
      </c>
      <c r="O43" s="91" t="e">
        <f t="shared" si="12"/>
        <v>#DIV/0!</v>
      </c>
      <c r="P43" s="39"/>
      <c r="Q43" s="37"/>
      <c r="R43" s="88"/>
      <c r="S43" s="92" t="e">
        <f t="shared" si="4"/>
        <v>#DIV/0!</v>
      </c>
      <c r="T43" s="20">
        <f t="shared" si="5"/>
        <v>0</v>
      </c>
      <c r="U43" s="123">
        <v>0</v>
      </c>
      <c r="V43" s="124" t="e">
        <f t="shared" si="10"/>
        <v>#DIV/0!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  <row r="47" spans="2:23" x14ac:dyDescent="0.25">
      <c r="L47" s="69"/>
      <c r="M47" s="103"/>
      <c r="N47" s="69"/>
      <c r="O47" s="69"/>
    </row>
  </sheetData>
  <mergeCells count="15">
    <mergeCell ref="B10:V10"/>
    <mergeCell ref="F8:G8"/>
    <mergeCell ref="B6:H6"/>
    <mergeCell ref="J6:O6"/>
    <mergeCell ref="Q6:V6"/>
    <mergeCell ref="H8:I8"/>
    <mergeCell ref="M8:N8"/>
    <mergeCell ref="O8:P8"/>
    <mergeCell ref="T8:U8"/>
    <mergeCell ref="V8:W8"/>
    <mergeCell ref="N3:Q3"/>
    <mergeCell ref="N4:Q4"/>
    <mergeCell ref="R3:V3"/>
    <mergeCell ref="R4:V4"/>
    <mergeCell ref="B5:W5"/>
  </mergeCells>
  <pageMargins left="0.75" right="0.64" top="0.9" bottom="0.68" header="0.5" footer="0.5"/>
  <pageSetup scale="98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7"/>
  <sheetViews>
    <sheetView topLeftCell="B1" zoomScaleSheetLayoutView="100" workbookViewId="0">
      <selection activeCell="S24" sqref="S24"/>
    </sheetView>
  </sheetViews>
  <sheetFormatPr defaultRowHeight="13.5" x14ac:dyDescent="0.25"/>
  <cols>
    <col min="1" max="1" width="0.42578125" style="1" hidden="1" customWidth="1"/>
    <col min="2" max="2" width="3.7109375" style="1" customWidth="1"/>
    <col min="3" max="3" width="5.28515625" style="1" customWidth="1"/>
    <col min="4" max="4" width="11" style="81" customWidth="1"/>
    <col min="5" max="5" width="7.7109375" style="1" customWidth="1"/>
    <col min="6" max="6" width="7" style="1" customWidth="1"/>
    <col min="7" max="7" width="5.85546875" style="1" customWidth="1"/>
    <col min="8" max="8" width="8.5703125" style="1" customWidth="1"/>
    <col min="9" max="9" width="0.5703125" style="1" hidden="1" customWidth="1"/>
    <col min="10" max="10" width="4.7109375" style="1" customWidth="1"/>
    <col min="11" max="11" width="9.85546875" style="81" customWidth="1"/>
    <col min="12" max="12" width="7.85546875" style="1" customWidth="1"/>
    <col min="13" max="13" width="7.28515625" style="1" customWidth="1"/>
    <col min="14" max="14" width="5" style="1" customWidth="1"/>
    <col min="15" max="15" width="8.140625" style="1" customWidth="1"/>
    <col min="16" max="16" width="1.5703125" style="1" hidden="1" customWidth="1"/>
    <col min="17" max="17" width="4.42578125" style="1" customWidth="1"/>
    <col min="18" max="18" width="9.140625" style="81" customWidth="1"/>
    <col min="19" max="19" width="7.42578125" style="1" customWidth="1"/>
    <col min="20" max="20" width="6.85546875" style="1" customWidth="1"/>
    <col min="21" max="21" width="3.7109375" style="1" customWidth="1"/>
    <col min="22" max="22" width="8.140625" style="1" customWidth="1"/>
    <col min="23" max="23" width="0.7109375" style="1" hidden="1" customWidth="1"/>
    <col min="24" max="24" width="0.42578125" style="1" hidden="1" customWidth="1"/>
    <col min="25" max="25" width="6.140625" style="1" hidden="1" customWidth="1"/>
    <col min="26" max="16384" width="9.140625" style="1"/>
  </cols>
  <sheetData>
    <row r="2" spans="1:25" ht="40.5" customHeight="1" x14ac:dyDescent="0.25"/>
    <row r="3" spans="1:25" ht="14.25" x14ac:dyDescent="0.3">
      <c r="N3" s="132" t="s">
        <v>27</v>
      </c>
      <c r="O3" s="132"/>
      <c r="P3" s="132"/>
      <c r="Q3" s="132"/>
      <c r="R3" s="148"/>
      <c r="S3" s="148"/>
      <c r="T3" s="148"/>
      <c r="U3" s="148"/>
      <c r="V3" s="148"/>
    </row>
    <row r="4" spans="1:25" ht="14.25" x14ac:dyDescent="0.3">
      <c r="N4" s="147" t="s">
        <v>28</v>
      </c>
      <c r="O4" s="147"/>
      <c r="P4" s="147"/>
      <c r="Q4" s="147"/>
      <c r="R4" s="149"/>
      <c r="S4" s="149"/>
      <c r="T4" s="149"/>
      <c r="U4" s="149"/>
      <c r="V4" s="149"/>
    </row>
    <row r="5" spans="1:25" ht="16.5" customHeight="1" x14ac:dyDescent="0.3"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2"/>
      <c r="Y5" s="56"/>
    </row>
    <row r="6" spans="1:25" ht="17.25" customHeight="1" thickBot="1" x14ac:dyDescent="0.35">
      <c r="A6" s="1" t="s">
        <v>13</v>
      </c>
      <c r="B6" s="138" t="s">
        <v>17</v>
      </c>
      <c r="C6" s="139"/>
      <c r="D6" s="139"/>
      <c r="E6" s="139"/>
      <c r="F6" s="139"/>
      <c r="G6" s="139"/>
      <c r="H6" s="140"/>
      <c r="I6" s="104"/>
      <c r="J6" s="141" t="s">
        <v>18</v>
      </c>
      <c r="K6" s="142"/>
      <c r="L6" s="142"/>
      <c r="M6" s="142"/>
      <c r="N6" s="142"/>
      <c r="O6" s="143"/>
      <c r="P6" s="104"/>
      <c r="Q6" s="141" t="s">
        <v>19</v>
      </c>
      <c r="R6" s="142"/>
      <c r="S6" s="142"/>
      <c r="T6" s="142"/>
      <c r="U6" s="142"/>
      <c r="V6" s="143"/>
      <c r="W6" s="67"/>
    </row>
    <row r="7" spans="1:25" ht="12.75" customHeight="1" x14ac:dyDescent="0.3">
      <c r="B7" s="23"/>
      <c r="C7" s="24" t="s">
        <v>12</v>
      </c>
      <c r="D7" s="76"/>
      <c r="E7" s="13">
        <v>6895</v>
      </c>
      <c r="F7" s="25"/>
      <c r="G7" s="13" t="s">
        <v>6</v>
      </c>
      <c r="H7" s="94">
        <v>808.89</v>
      </c>
      <c r="I7" s="67"/>
      <c r="J7" s="24" t="s">
        <v>12</v>
      </c>
      <c r="K7" s="76"/>
      <c r="L7" s="13">
        <v>6900</v>
      </c>
      <c r="M7" s="25"/>
      <c r="N7" s="13" t="s">
        <v>6</v>
      </c>
      <c r="O7" s="95">
        <v>846.83</v>
      </c>
      <c r="P7" s="96"/>
      <c r="Q7" s="24" t="s">
        <v>12</v>
      </c>
      <c r="R7" s="76"/>
      <c r="S7" s="13">
        <v>6100</v>
      </c>
      <c r="T7" s="25"/>
      <c r="U7" s="13" t="s">
        <v>6</v>
      </c>
      <c r="V7" s="95">
        <v>622.52</v>
      </c>
      <c r="W7" s="96"/>
    </row>
    <row r="8" spans="1:25" ht="12" customHeight="1" x14ac:dyDescent="0.3">
      <c r="B8" s="2"/>
      <c r="C8" s="6" t="s">
        <v>5</v>
      </c>
      <c r="D8" s="77"/>
      <c r="E8" s="22">
        <v>0.9</v>
      </c>
      <c r="F8" s="128" t="s">
        <v>7</v>
      </c>
      <c r="G8" s="129"/>
      <c r="H8" s="153">
        <v>5577300</v>
      </c>
      <c r="I8" s="154"/>
      <c r="J8" s="6" t="s">
        <v>5</v>
      </c>
      <c r="K8" s="77"/>
      <c r="L8" s="22">
        <v>0.93100000000000005</v>
      </c>
      <c r="M8" s="128" t="s">
        <v>7</v>
      </c>
      <c r="N8" s="129"/>
      <c r="O8" s="153">
        <v>5843150</v>
      </c>
      <c r="P8" s="154"/>
      <c r="Q8" s="6" t="s">
        <v>5</v>
      </c>
      <c r="R8" s="77"/>
      <c r="S8" s="22">
        <v>0.79700000000000004</v>
      </c>
      <c r="T8" s="128" t="s">
        <v>7</v>
      </c>
      <c r="U8" s="144"/>
      <c r="V8" s="153">
        <v>3797375</v>
      </c>
      <c r="W8" s="154"/>
    </row>
    <row r="9" spans="1:25" ht="11.25" customHeight="1" x14ac:dyDescent="0.3">
      <c r="B9" s="2"/>
      <c r="C9" s="6" t="s">
        <v>11</v>
      </c>
      <c r="D9" s="77"/>
      <c r="E9" s="7">
        <v>7657</v>
      </c>
      <c r="F9" s="3"/>
      <c r="G9" s="3"/>
      <c r="H9" s="59"/>
      <c r="I9" s="4"/>
      <c r="J9" s="6" t="s">
        <v>11</v>
      </c>
      <c r="K9" s="77"/>
      <c r="L9" s="7">
        <v>7410</v>
      </c>
      <c r="M9" s="3"/>
      <c r="N9" s="3"/>
      <c r="O9" s="59"/>
      <c r="P9" s="66"/>
      <c r="Q9" s="6" t="s">
        <v>11</v>
      </c>
      <c r="R9" s="77"/>
      <c r="S9" s="7">
        <v>7657</v>
      </c>
      <c r="T9" s="3"/>
      <c r="U9" s="3"/>
      <c r="V9" s="97"/>
      <c r="W9" s="98"/>
    </row>
    <row r="10" spans="1:25" ht="17.25" customHeight="1" x14ac:dyDescent="0.3">
      <c r="B10" s="155" t="s">
        <v>36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7"/>
      <c r="W10" s="74"/>
      <c r="X10" s="69"/>
      <c r="Y10" s="56"/>
    </row>
    <row r="11" spans="1:25" ht="39" customHeight="1" x14ac:dyDescent="0.25">
      <c r="B11" s="99" t="s">
        <v>0</v>
      </c>
      <c r="C11" s="71" t="s">
        <v>1</v>
      </c>
      <c r="D11" s="87" t="s">
        <v>8</v>
      </c>
      <c r="E11" s="71" t="s">
        <v>2</v>
      </c>
      <c r="F11" s="71" t="s">
        <v>3</v>
      </c>
      <c r="G11" s="71" t="s">
        <v>4</v>
      </c>
      <c r="H11" s="100" t="s">
        <v>9</v>
      </c>
      <c r="I11" s="101"/>
      <c r="J11" s="70" t="s">
        <v>1</v>
      </c>
      <c r="K11" s="87" t="s">
        <v>8</v>
      </c>
      <c r="L11" s="71" t="s">
        <v>2</v>
      </c>
      <c r="M11" s="71" t="s">
        <v>3</v>
      </c>
      <c r="N11" s="71" t="s">
        <v>4</v>
      </c>
      <c r="O11" s="100" t="s">
        <v>9</v>
      </c>
      <c r="P11" s="101"/>
      <c r="Q11" s="70" t="s">
        <v>1</v>
      </c>
      <c r="R11" s="87" t="s">
        <v>8</v>
      </c>
      <c r="S11" s="71" t="s">
        <v>2</v>
      </c>
      <c r="T11" s="71" t="s">
        <v>3</v>
      </c>
      <c r="U11" s="71" t="s">
        <v>4</v>
      </c>
      <c r="V11" s="72" t="s">
        <v>10</v>
      </c>
      <c r="W11" s="73"/>
      <c r="X11" s="56"/>
    </row>
    <row r="12" spans="1:25" ht="12" customHeight="1" x14ac:dyDescent="0.25">
      <c r="B12" s="105"/>
      <c r="C12" s="106">
        <v>304</v>
      </c>
      <c r="D12" s="110">
        <v>304</v>
      </c>
      <c r="E12" s="106">
        <v>304</v>
      </c>
      <c r="F12" s="106">
        <v>304</v>
      </c>
      <c r="G12" s="106">
        <v>304</v>
      </c>
      <c r="H12" s="107">
        <v>304</v>
      </c>
      <c r="I12" s="108">
        <v>304</v>
      </c>
      <c r="J12" s="109">
        <v>304</v>
      </c>
      <c r="K12" s="110">
        <v>304</v>
      </c>
      <c r="L12" s="106">
        <v>304</v>
      </c>
      <c r="M12" s="106">
        <v>304</v>
      </c>
      <c r="N12" s="106">
        <v>304</v>
      </c>
      <c r="O12" s="107">
        <v>304</v>
      </c>
      <c r="P12" s="108">
        <v>304</v>
      </c>
      <c r="Q12" s="109">
        <v>304</v>
      </c>
      <c r="R12" s="110">
        <v>304</v>
      </c>
      <c r="S12" s="106">
        <v>304</v>
      </c>
      <c r="T12" s="106">
        <v>304</v>
      </c>
      <c r="U12" s="107">
        <v>304</v>
      </c>
      <c r="V12" s="107">
        <v>304</v>
      </c>
      <c r="W12" s="41"/>
    </row>
    <row r="13" spans="1:25" ht="11.25" customHeight="1" x14ac:dyDescent="0.25">
      <c r="B13" s="8">
        <v>1</v>
      </c>
      <c r="C13" s="35">
        <f>4513+172</f>
        <v>4685</v>
      </c>
      <c r="D13" s="75">
        <f>2499282.35+100243.68</f>
        <v>2599526.0300000003</v>
      </c>
      <c r="E13" s="10">
        <f t="shared" ref="E13:E43" si="0">D13/C13</f>
        <v>554.86147918890083</v>
      </c>
      <c r="F13" s="11">
        <f t="shared" ref="F13:F43" si="1">C13/$E$9</f>
        <v>0.61185843019459318</v>
      </c>
      <c r="G13" s="12">
        <v>16</v>
      </c>
      <c r="H13" s="29">
        <v>5650.34</v>
      </c>
      <c r="I13" s="31"/>
      <c r="J13" s="52">
        <v>2294</v>
      </c>
      <c r="K13" s="79">
        <v>1510638.97</v>
      </c>
      <c r="L13" s="10">
        <f t="shared" ref="L13:L43" si="2">K13/J13</f>
        <v>658.51742371403657</v>
      </c>
      <c r="M13" s="11">
        <f t="shared" ref="M13:M43" si="3">J13/$L$9</f>
        <v>0.30958164642375169</v>
      </c>
      <c r="N13" s="12">
        <v>46</v>
      </c>
      <c r="O13" s="36">
        <v>625.75</v>
      </c>
      <c r="P13" s="38"/>
      <c r="Q13" s="34">
        <v>1502</v>
      </c>
      <c r="R13" s="64">
        <v>1133811.08</v>
      </c>
      <c r="S13" s="60">
        <f t="shared" ref="S13:S43" si="4">R13/Q13</f>
        <v>754.86756324900136</v>
      </c>
      <c r="T13" s="11">
        <f t="shared" ref="T13:T43" si="5">Q13/$S$9</f>
        <v>0.19616037612642026</v>
      </c>
      <c r="U13" s="14">
        <v>-9</v>
      </c>
      <c r="V13" s="36">
        <v>903.71</v>
      </c>
      <c r="W13" s="42"/>
    </row>
    <row r="14" spans="1:25" ht="12" customHeight="1" x14ac:dyDescent="0.25">
      <c r="B14" s="15">
        <f>B13+1</f>
        <v>2</v>
      </c>
      <c r="C14" s="16">
        <f>358+4421</f>
        <v>4779</v>
      </c>
      <c r="D14" s="75">
        <f>206193.36+2458477.08</f>
        <v>2664670.44</v>
      </c>
      <c r="E14" s="10">
        <f t="shared" si="0"/>
        <v>557.57908349026991</v>
      </c>
      <c r="F14" s="11">
        <f t="shared" si="1"/>
        <v>0.62413477863392974</v>
      </c>
      <c r="G14" s="12">
        <f t="shared" ref="G14:G43" si="6">(C14-C13)</f>
        <v>94</v>
      </c>
      <c r="H14" s="29">
        <f t="shared" ref="H14:H43" si="7">(D14-D13)/G14</f>
        <v>693.02563829786902</v>
      </c>
      <c r="I14" s="31"/>
      <c r="J14" s="35">
        <v>2329</v>
      </c>
      <c r="K14" s="75">
        <v>1556852.52</v>
      </c>
      <c r="L14" s="10">
        <f t="shared" si="2"/>
        <v>668.46394160583941</v>
      </c>
      <c r="M14" s="11">
        <f t="shared" si="3"/>
        <v>0.31430499325236166</v>
      </c>
      <c r="N14" s="12">
        <f t="shared" ref="N14:N43" si="8">(J14-J13)</f>
        <v>35</v>
      </c>
      <c r="O14" s="36">
        <f>-(K14-K13)/-N14</f>
        <v>1320.3871428571442</v>
      </c>
      <c r="P14" s="38"/>
      <c r="Q14" s="34">
        <v>1510</v>
      </c>
      <c r="R14" s="75">
        <v>1138184.42</v>
      </c>
      <c r="S14" s="10">
        <f t="shared" si="4"/>
        <v>753.76451655629137</v>
      </c>
      <c r="T14" s="11">
        <f t="shared" si="5"/>
        <v>0.1972051717382787</v>
      </c>
      <c r="U14" s="14">
        <f t="shared" ref="U14:U43" si="9">Q14-Q13</f>
        <v>8</v>
      </c>
      <c r="V14" s="36">
        <f>(R14-R13)/U14</f>
        <v>546.66749999998137</v>
      </c>
      <c r="W14" s="42"/>
    </row>
    <row r="15" spans="1:25" ht="12" customHeight="1" x14ac:dyDescent="0.25">
      <c r="B15" s="15">
        <f>B14+1</f>
        <v>3</v>
      </c>
      <c r="C15" s="16">
        <f>567+4320</f>
        <v>4887</v>
      </c>
      <c r="D15" s="75">
        <f>2433698.63+330321.22</f>
        <v>2764019.8499999996</v>
      </c>
      <c r="E15" s="10">
        <f t="shared" si="0"/>
        <v>565.58621853898092</v>
      </c>
      <c r="F15" s="11">
        <f t="shared" si="1"/>
        <v>0.63823951939401857</v>
      </c>
      <c r="G15" s="12">
        <f t="shared" si="6"/>
        <v>108</v>
      </c>
      <c r="H15" s="29">
        <f t="shared" si="7"/>
        <v>919.90194444444148</v>
      </c>
      <c r="I15" s="31"/>
      <c r="J15" s="35">
        <v>2456</v>
      </c>
      <c r="K15" s="75">
        <v>1613235.37</v>
      </c>
      <c r="L15" s="10">
        <f t="shared" si="2"/>
        <v>656.85479234527691</v>
      </c>
      <c r="M15" s="11">
        <f t="shared" si="3"/>
        <v>0.33144399460188934</v>
      </c>
      <c r="N15" s="12">
        <f t="shared" si="8"/>
        <v>127</v>
      </c>
      <c r="O15" s="36">
        <f>-(K15-K14)/-N15</f>
        <v>443.95944881889835</v>
      </c>
      <c r="P15" s="38"/>
      <c r="Q15" s="34">
        <v>1529</v>
      </c>
      <c r="R15" s="64">
        <v>1150379.3700000001</v>
      </c>
      <c r="S15" s="60">
        <f t="shared" si="4"/>
        <v>752.37368868541535</v>
      </c>
      <c r="T15" s="11">
        <f t="shared" si="5"/>
        <v>0.19968656131644247</v>
      </c>
      <c r="U15" s="14">
        <f t="shared" si="9"/>
        <v>19</v>
      </c>
      <c r="V15" s="36">
        <f t="shared" ref="V15:V43" si="10">(R15-R14)/U15</f>
        <v>641.83947368422037</v>
      </c>
      <c r="W15" s="42"/>
    </row>
    <row r="16" spans="1:25" ht="12" customHeight="1" x14ac:dyDescent="0.25">
      <c r="B16" s="15">
        <v>4</v>
      </c>
      <c r="C16" s="16">
        <f>778+4309</f>
        <v>5087</v>
      </c>
      <c r="D16" s="75">
        <f>2455650.31+459216.83</f>
        <v>2914867.14</v>
      </c>
      <c r="E16" s="10">
        <f t="shared" si="0"/>
        <v>573.00317279339492</v>
      </c>
      <c r="F16" s="11">
        <f t="shared" si="1"/>
        <v>0.66435940969047935</v>
      </c>
      <c r="G16" s="12">
        <f t="shared" si="6"/>
        <v>200</v>
      </c>
      <c r="H16" s="29">
        <f t="shared" si="7"/>
        <v>754.23645000000249</v>
      </c>
      <c r="I16" s="31"/>
      <c r="J16" s="35">
        <f>2569</f>
        <v>2569</v>
      </c>
      <c r="K16" s="75">
        <v>1708655.03</v>
      </c>
      <c r="L16" s="10">
        <f t="shared" si="2"/>
        <v>665.10511093810817</v>
      </c>
      <c r="M16" s="11">
        <f t="shared" si="3"/>
        <v>0.34669365721997303</v>
      </c>
      <c r="N16" s="12">
        <f t="shared" si="8"/>
        <v>113</v>
      </c>
      <c r="O16" s="36">
        <f>-(K16-K15)/-N16</f>
        <v>844.4217699115037</v>
      </c>
      <c r="P16" s="38"/>
      <c r="Q16" s="34">
        <v>1560</v>
      </c>
      <c r="R16" s="64">
        <v>1164735.76</v>
      </c>
      <c r="S16" s="60">
        <f t="shared" si="4"/>
        <v>746.62548717948721</v>
      </c>
      <c r="T16" s="11">
        <f t="shared" si="5"/>
        <v>0.2037351443123939</v>
      </c>
      <c r="U16" s="14">
        <f t="shared" si="9"/>
        <v>31</v>
      </c>
      <c r="V16" s="36">
        <f t="shared" si="10"/>
        <v>463.10935483870639</v>
      </c>
      <c r="W16" s="42"/>
    </row>
    <row r="17" spans="2:23" ht="12" customHeight="1" x14ac:dyDescent="0.25">
      <c r="B17" s="15">
        <f t="shared" ref="B17:B41" si="11">B16+1</f>
        <v>5</v>
      </c>
      <c r="C17" s="16">
        <f>4378+995</f>
        <v>5373</v>
      </c>
      <c r="D17" s="82">
        <f>2525041.08+598164.32</f>
        <v>3123205.4</v>
      </c>
      <c r="E17" s="10">
        <f t="shared" si="0"/>
        <v>581.27775916620135</v>
      </c>
      <c r="F17" s="11">
        <f t="shared" si="1"/>
        <v>0.70171085281441814</v>
      </c>
      <c r="G17" s="12">
        <f t="shared" si="6"/>
        <v>286</v>
      </c>
      <c r="H17" s="29">
        <f t="shared" si="7"/>
        <v>728.45545454545379</v>
      </c>
      <c r="I17" s="31"/>
      <c r="J17" s="35">
        <v>2638</v>
      </c>
      <c r="K17" s="75">
        <v>1755275.94</v>
      </c>
      <c r="L17" s="10">
        <f t="shared" si="2"/>
        <v>665.38132676269902</v>
      </c>
      <c r="M17" s="11">
        <f t="shared" si="3"/>
        <v>0.35600539811066129</v>
      </c>
      <c r="N17" s="12">
        <f t="shared" si="8"/>
        <v>69</v>
      </c>
      <c r="O17" s="36">
        <f>(K17-K16)/N17</f>
        <v>675.66536231883936</v>
      </c>
      <c r="P17" s="38"/>
      <c r="Q17" s="34">
        <v>1582</v>
      </c>
      <c r="R17" s="64">
        <v>1176884.75</v>
      </c>
      <c r="S17" s="60">
        <f t="shared" si="4"/>
        <v>743.92209228824277</v>
      </c>
      <c r="T17" s="11">
        <f t="shared" si="5"/>
        <v>0.20660833224500458</v>
      </c>
      <c r="U17" s="14">
        <f t="shared" si="9"/>
        <v>22</v>
      </c>
      <c r="V17" s="36">
        <f t="shared" si="10"/>
        <v>552.22681818181775</v>
      </c>
      <c r="W17" s="42"/>
    </row>
    <row r="18" spans="2:23" ht="12" customHeight="1" x14ac:dyDescent="0.25">
      <c r="B18" s="15">
        <f t="shared" si="11"/>
        <v>6</v>
      </c>
      <c r="C18" s="16">
        <f>4155+1228</f>
        <v>5383</v>
      </c>
      <c r="D18" s="82">
        <f>2419286.03+739577.77</f>
        <v>3158863.8</v>
      </c>
      <c r="E18" s="10">
        <f t="shared" si="0"/>
        <v>586.8221809399962</v>
      </c>
      <c r="F18" s="11">
        <f t="shared" si="1"/>
        <v>0.70301684732924119</v>
      </c>
      <c r="G18" s="12">
        <f t="shared" si="6"/>
        <v>10</v>
      </c>
      <c r="H18" s="29">
        <f t="shared" si="7"/>
        <v>3565.8399999999906</v>
      </c>
      <c r="I18" s="31">
        <v>0</v>
      </c>
      <c r="J18" s="35">
        <v>2767</v>
      </c>
      <c r="K18" s="75">
        <v>1847530.15</v>
      </c>
      <c r="L18" s="10">
        <f t="shared" si="2"/>
        <v>667.70153595952297</v>
      </c>
      <c r="M18" s="11">
        <f t="shared" si="3"/>
        <v>0.37341430499325234</v>
      </c>
      <c r="N18" s="12">
        <f t="shared" si="8"/>
        <v>129</v>
      </c>
      <c r="O18" s="36">
        <f>(K18-K17)/N18</f>
        <v>715.14891472868192</v>
      </c>
      <c r="P18" s="38"/>
      <c r="Q18" s="34">
        <v>1602</v>
      </c>
      <c r="R18" s="64">
        <v>1189992.1100000001</v>
      </c>
      <c r="S18" s="60">
        <f t="shared" si="4"/>
        <v>742.81654806491895</v>
      </c>
      <c r="T18" s="11">
        <f t="shared" si="5"/>
        <v>0.20922032127465065</v>
      </c>
      <c r="U18" s="14">
        <f t="shared" si="9"/>
        <v>20</v>
      </c>
      <c r="V18" s="36">
        <f t="shared" si="10"/>
        <v>655.36800000000517</v>
      </c>
      <c r="W18" s="42"/>
    </row>
    <row r="19" spans="2:23" ht="12" customHeight="1" x14ac:dyDescent="0.25">
      <c r="B19" s="15">
        <f t="shared" si="11"/>
        <v>7</v>
      </c>
      <c r="C19" s="16">
        <f>1402+3997</f>
        <v>5399</v>
      </c>
      <c r="D19" s="82">
        <f>2337409.68+849995.67</f>
        <v>3187405.35</v>
      </c>
      <c r="E19" s="10">
        <f t="shared" si="0"/>
        <v>590.36957769957405</v>
      </c>
      <c r="F19" s="11">
        <f t="shared" si="1"/>
        <v>0.70510643855295807</v>
      </c>
      <c r="G19" s="12">
        <f t="shared" si="6"/>
        <v>16</v>
      </c>
      <c r="H19" s="29">
        <f t="shared" si="7"/>
        <v>1783.8468750000175</v>
      </c>
      <c r="I19" s="31"/>
      <c r="J19" s="35">
        <v>2759</v>
      </c>
      <c r="K19" s="75">
        <v>1855869.02</v>
      </c>
      <c r="L19" s="10">
        <f t="shared" si="2"/>
        <v>672.66002899601301</v>
      </c>
      <c r="M19" s="11">
        <f t="shared" si="3"/>
        <v>0.37233468286099863</v>
      </c>
      <c r="N19" s="12">
        <f t="shared" si="8"/>
        <v>-8</v>
      </c>
      <c r="O19" s="36">
        <f>-(K19-K18)/-N19</f>
        <v>-1042.358750000014</v>
      </c>
      <c r="P19" s="38"/>
      <c r="Q19" s="34">
        <v>1608</v>
      </c>
      <c r="R19" s="64">
        <v>1195504.6100000001</v>
      </c>
      <c r="S19" s="60">
        <f t="shared" si="4"/>
        <v>743.47301616915433</v>
      </c>
      <c r="T19" s="11">
        <f t="shared" si="5"/>
        <v>0.21000391798354448</v>
      </c>
      <c r="U19" s="14">
        <f t="shared" si="9"/>
        <v>6</v>
      </c>
      <c r="V19" s="36">
        <f t="shared" si="10"/>
        <v>918.75</v>
      </c>
      <c r="W19" s="42"/>
    </row>
    <row r="20" spans="2:23" ht="12" customHeight="1" x14ac:dyDescent="0.25">
      <c r="B20" s="15">
        <f t="shared" si="11"/>
        <v>8</v>
      </c>
      <c r="C20" s="16">
        <f>1584+3999</f>
        <v>5583</v>
      </c>
      <c r="D20" s="82">
        <f>2320321.68+982054.49</f>
        <v>3302376.17</v>
      </c>
      <c r="E20" s="10">
        <f t="shared" si="0"/>
        <v>591.50567257746729</v>
      </c>
      <c r="F20" s="11">
        <f t="shared" si="1"/>
        <v>0.72913673762570197</v>
      </c>
      <c r="G20" s="12">
        <f t="shared" si="6"/>
        <v>184</v>
      </c>
      <c r="H20" s="29">
        <f t="shared" si="7"/>
        <v>624.84141304347736</v>
      </c>
      <c r="I20" s="31"/>
      <c r="J20" s="35">
        <v>2852</v>
      </c>
      <c r="K20" s="75">
        <v>1914975.34</v>
      </c>
      <c r="L20" s="10">
        <f t="shared" si="2"/>
        <v>671.44997896213192</v>
      </c>
      <c r="M20" s="11">
        <f t="shared" si="3"/>
        <v>0.38488529014844802</v>
      </c>
      <c r="N20" s="12">
        <f t="shared" si="8"/>
        <v>93</v>
      </c>
      <c r="O20" s="36">
        <f>(K20-K19)/N20</f>
        <v>635.55182795699</v>
      </c>
      <c r="P20" s="38"/>
      <c r="Q20" s="34">
        <v>1649</v>
      </c>
      <c r="R20" s="64">
        <v>1244029.6100000001</v>
      </c>
      <c r="S20" s="60">
        <f t="shared" si="4"/>
        <v>754.4145603395998</v>
      </c>
      <c r="T20" s="11">
        <f t="shared" si="5"/>
        <v>0.21535849549431893</v>
      </c>
      <c r="U20" s="14">
        <f t="shared" si="9"/>
        <v>41</v>
      </c>
      <c r="V20" s="36">
        <f t="shared" si="10"/>
        <v>1183.5365853658536</v>
      </c>
      <c r="W20" s="42"/>
    </row>
    <row r="21" spans="2:23" ht="12" customHeight="1" x14ac:dyDescent="0.25">
      <c r="B21" s="15">
        <f t="shared" si="11"/>
        <v>9</v>
      </c>
      <c r="C21" s="16">
        <f>1830+3743</f>
        <v>5573</v>
      </c>
      <c r="D21" s="82">
        <f>1159248.92+2154683.16</f>
        <v>3313932.08</v>
      </c>
      <c r="E21" s="10">
        <f t="shared" si="0"/>
        <v>594.64060290687246</v>
      </c>
      <c r="F21" s="11">
        <f t="shared" si="1"/>
        <v>0.72783074311087892</v>
      </c>
      <c r="G21" s="12">
        <f t="shared" si="6"/>
        <v>-10</v>
      </c>
      <c r="H21" s="29">
        <f t="shared" si="7"/>
        <v>-1155.5910000000149</v>
      </c>
      <c r="I21" s="31"/>
      <c r="J21" s="35">
        <v>2932</v>
      </c>
      <c r="K21" s="75">
        <v>1972330.41</v>
      </c>
      <c r="L21" s="10">
        <f t="shared" si="2"/>
        <v>672.69113574351979</v>
      </c>
      <c r="M21" s="11">
        <f t="shared" si="3"/>
        <v>0.39568151147098518</v>
      </c>
      <c r="N21" s="12">
        <f t="shared" si="8"/>
        <v>80</v>
      </c>
      <c r="O21" s="36">
        <f t="shared" ref="O21:O43" si="12">(K21-K20)/N21</f>
        <v>716.9383749999979</v>
      </c>
      <c r="P21" s="38"/>
      <c r="Q21" s="34">
        <v>1667</v>
      </c>
      <c r="R21" s="64">
        <v>1250755.1100000001</v>
      </c>
      <c r="S21" s="60">
        <f t="shared" si="4"/>
        <v>750.30300539892028</v>
      </c>
      <c r="T21" s="11">
        <f t="shared" si="5"/>
        <v>0.21770928562100039</v>
      </c>
      <c r="U21" s="14">
        <f t="shared" si="9"/>
        <v>18</v>
      </c>
      <c r="V21" s="36">
        <f t="shared" si="10"/>
        <v>373.63888888888891</v>
      </c>
      <c r="W21" s="42"/>
    </row>
    <row r="22" spans="2:23" ht="12" customHeight="1" x14ac:dyDescent="0.25">
      <c r="B22" s="15">
        <f t="shared" si="11"/>
        <v>10</v>
      </c>
      <c r="C22" s="16">
        <f>3621+2077</f>
        <v>5698</v>
      </c>
      <c r="D22" s="82">
        <f>2067617.6+1340054.76</f>
        <v>3407672.3600000003</v>
      </c>
      <c r="E22" s="10">
        <f t="shared" si="0"/>
        <v>598.04709722709731</v>
      </c>
      <c r="F22" s="11">
        <f t="shared" si="1"/>
        <v>0.74415567454616693</v>
      </c>
      <c r="G22" s="12">
        <f t="shared" si="6"/>
        <v>125</v>
      </c>
      <c r="H22" s="29">
        <f t="shared" si="7"/>
        <v>749.92224000000203</v>
      </c>
      <c r="I22" s="31"/>
      <c r="J22" s="35">
        <v>2978</v>
      </c>
      <c r="K22" s="75">
        <v>2007974.22</v>
      </c>
      <c r="L22" s="10">
        <f t="shared" si="2"/>
        <v>674.26938213566154</v>
      </c>
      <c r="M22" s="11">
        <f t="shared" si="3"/>
        <v>0.401889338731444</v>
      </c>
      <c r="N22" s="12">
        <f t="shared" si="8"/>
        <v>46</v>
      </c>
      <c r="O22" s="36">
        <f t="shared" si="12"/>
        <v>774.8654347826099</v>
      </c>
      <c r="P22" s="38"/>
      <c r="Q22" s="34">
        <v>1673</v>
      </c>
      <c r="R22" s="64">
        <v>1254738.6100000001</v>
      </c>
      <c r="S22" s="60">
        <f t="shared" si="4"/>
        <v>749.99319187089066</v>
      </c>
      <c r="T22" s="11">
        <f t="shared" si="5"/>
        <v>0.21849288232989422</v>
      </c>
      <c r="U22" s="14">
        <f t="shared" si="9"/>
        <v>6</v>
      </c>
      <c r="V22" s="36">
        <f t="shared" si="10"/>
        <v>663.91666666666663</v>
      </c>
      <c r="W22" s="42"/>
    </row>
    <row r="23" spans="2:23" ht="12" customHeight="1" x14ac:dyDescent="0.25">
      <c r="B23" s="15">
        <f t="shared" si="11"/>
        <v>11</v>
      </c>
      <c r="C23" s="16">
        <f>3533+2321</f>
        <v>5854</v>
      </c>
      <c r="D23" s="82">
        <f>1523864.59+2014566.98</f>
        <v>3538431.5700000003</v>
      </c>
      <c r="E23" s="10">
        <f t="shared" si="0"/>
        <v>604.44680047830548</v>
      </c>
      <c r="F23" s="11">
        <f t="shared" si="1"/>
        <v>0.76452918897740629</v>
      </c>
      <c r="G23" s="12">
        <f t="shared" si="6"/>
        <v>156</v>
      </c>
      <c r="H23" s="29">
        <f t="shared" si="7"/>
        <v>838.20006410256383</v>
      </c>
      <c r="I23" s="31"/>
      <c r="J23" s="35">
        <v>3155</v>
      </c>
      <c r="K23" s="75">
        <v>2121265.1800000002</v>
      </c>
      <c r="L23" s="10">
        <f t="shared" si="2"/>
        <v>672.35029477020612</v>
      </c>
      <c r="M23" s="11">
        <f t="shared" si="3"/>
        <v>0.42577597840755738</v>
      </c>
      <c r="N23" s="12">
        <f t="shared" si="8"/>
        <v>177</v>
      </c>
      <c r="O23" s="36">
        <f t="shared" si="12"/>
        <v>640.06192090395587</v>
      </c>
      <c r="P23" s="38"/>
      <c r="Q23" s="34">
        <v>1692</v>
      </c>
      <c r="R23" s="64">
        <v>1274064.01</v>
      </c>
      <c r="S23" s="60">
        <f t="shared" si="4"/>
        <v>752.99291371158392</v>
      </c>
      <c r="T23" s="11">
        <f t="shared" si="5"/>
        <v>0.22097427190805799</v>
      </c>
      <c r="U23" s="14">
        <f t="shared" si="9"/>
        <v>19</v>
      </c>
      <c r="V23" s="36">
        <f t="shared" si="10"/>
        <v>1017.1263157894688</v>
      </c>
      <c r="W23" s="42"/>
    </row>
    <row r="24" spans="2:23" ht="12" customHeight="1" x14ac:dyDescent="0.25">
      <c r="B24" s="15">
        <f t="shared" si="11"/>
        <v>12</v>
      </c>
      <c r="C24" s="16">
        <f>2540+3348</f>
        <v>5888</v>
      </c>
      <c r="D24" s="82">
        <f>1691578.32+1903514.9</f>
        <v>3595093.2199999997</v>
      </c>
      <c r="E24" s="10">
        <f t="shared" si="0"/>
        <v>610.57969089673907</v>
      </c>
      <c r="F24" s="11">
        <f t="shared" si="1"/>
        <v>0.76896957032780466</v>
      </c>
      <c r="G24" s="12">
        <f t="shared" si="6"/>
        <v>34</v>
      </c>
      <c r="H24" s="29">
        <f t="shared" si="7"/>
        <v>1666.5191176470423</v>
      </c>
      <c r="I24" s="31">
        <v>635.86</v>
      </c>
      <c r="J24" s="35">
        <v>3286</v>
      </c>
      <c r="K24" s="75">
        <v>2233594.09</v>
      </c>
      <c r="L24" s="10">
        <f t="shared" si="2"/>
        <v>679.730398660986</v>
      </c>
      <c r="M24" s="11">
        <f t="shared" si="3"/>
        <v>0.44345479082321188</v>
      </c>
      <c r="N24" s="12">
        <f t="shared" si="8"/>
        <v>131</v>
      </c>
      <c r="O24" s="36">
        <f t="shared" si="12"/>
        <v>857.47259541984488</v>
      </c>
      <c r="P24" s="38"/>
      <c r="Q24" s="34">
        <v>1717</v>
      </c>
      <c r="R24" s="64">
        <v>1295383.02</v>
      </c>
      <c r="S24" s="60">
        <f t="shared" si="4"/>
        <v>754.44555620267909</v>
      </c>
      <c r="T24" s="11">
        <f t="shared" si="5"/>
        <v>0.22423925819511559</v>
      </c>
      <c r="U24" s="14">
        <f t="shared" si="9"/>
        <v>25</v>
      </c>
      <c r="V24" s="36">
        <f t="shared" si="10"/>
        <v>852.76040000000035</v>
      </c>
      <c r="W24" s="42"/>
    </row>
    <row r="25" spans="2:23" ht="12" customHeight="1" x14ac:dyDescent="0.25">
      <c r="B25" s="15">
        <f t="shared" si="11"/>
        <v>13</v>
      </c>
      <c r="C25" s="16">
        <f>3231+2738</f>
        <v>5969</v>
      </c>
      <c r="D25" s="82">
        <f>1830515.11+1850600.1</f>
        <v>3681115.21</v>
      </c>
      <c r="E25" s="10">
        <f t="shared" si="0"/>
        <v>616.70551348634615</v>
      </c>
      <c r="F25" s="11">
        <f t="shared" si="1"/>
        <v>0.77954812589787126</v>
      </c>
      <c r="G25" s="12">
        <f t="shared" si="6"/>
        <v>81</v>
      </c>
      <c r="H25" s="29">
        <f t="shared" si="7"/>
        <v>1061.9998765432126</v>
      </c>
      <c r="I25" s="31"/>
      <c r="J25" s="35">
        <v>3482</v>
      </c>
      <c r="K25" s="75">
        <v>2354837.0699999998</v>
      </c>
      <c r="L25" s="10">
        <f t="shared" si="2"/>
        <v>676.28864732912109</v>
      </c>
      <c r="M25" s="11">
        <f t="shared" si="3"/>
        <v>0.4699055330634278</v>
      </c>
      <c r="N25" s="12">
        <f t="shared" si="8"/>
        <v>196</v>
      </c>
      <c r="O25" s="36">
        <f t="shared" si="12"/>
        <v>618.58663265306109</v>
      </c>
      <c r="P25" s="38"/>
      <c r="Q25" s="34">
        <v>1776</v>
      </c>
      <c r="R25" s="64">
        <v>1339051.97</v>
      </c>
      <c r="S25" s="60">
        <f t="shared" si="4"/>
        <v>753.97070382882885</v>
      </c>
      <c r="T25" s="11">
        <f t="shared" si="5"/>
        <v>0.2319446258325715</v>
      </c>
      <c r="U25" s="14">
        <f t="shared" si="9"/>
        <v>59</v>
      </c>
      <c r="V25" s="36">
        <f t="shared" si="10"/>
        <v>740.15169491525342</v>
      </c>
      <c r="W25" s="42"/>
    </row>
    <row r="26" spans="2:23" ht="12" customHeight="1" x14ac:dyDescent="0.25">
      <c r="B26" s="15">
        <f t="shared" si="11"/>
        <v>14</v>
      </c>
      <c r="C26" s="16">
        <f>2939+2975</f>
        <v>5914</v>
      </c>
      <c r="D26" s="82">
        <f>1701102.25+1977787.43</f>
        <v>3678889.6799999997</v>
      </c>
      <c r="E26" s="10">
        <f t="shared" si="0"/>
        <v>622.06453838349671</v>
      </c>
      <c r="F26" s="11">
        <f t="shared" si="1"/>
        <v>0.77236515606634448</v>
      </c>
      <c r="G26" s="12">
        <f t="shared" si="6"/>
        <v>-55</v>
      </c>
      <c r="H26" s="29">
        <f t="shared" si="7"/>
        <v>40.46418181818656</v>
      </c>
      <c r="I26" s="31"/>
      <c r="J26" s="35">
        <v>3735</v>
      </c>
      <c r="K26" s="75">
        <v>2537741.14</v>
      </c>
      <c r="L26" s="10">
        <f t="shared" si="2"/>
        <v>679.44876572958503</v>
      </c>
      <c r="M26" s="11">
        <f t="shared" si="3"/>
        <v>0.50404858299595146</v>
      </c>
      <c r="N26" s="12">
        <f t="shared" si="8"/>
        <v>253</v>
      </c>
      <c r="O26" s="36">
        <f t="shared" si="12"/>
        <v>722.94098814229369</v>
      </c>
      <c r="P26" s="38"/>
      <c r="Q26" s="34">
        <v>1841</v>
      </c>
      <c r="R26" s="64">
        <v>1364838.34</v>
      </c>
      <c r="S26" s="60">
        <f t="shared" si="4"/>
        <v>741.35705594785452</v>
      </c>
      <c r="T26" s="11">
        <f t="shared" si="5"/>
        <v>0.24043359017892124</v>
      </c>
      <c r="U26" s="14">
        <f t="shared" si="9"/>
        <v>65</v>
      </c>
      <c r="V26" s="36">
        <f t="shared" si="10"/>
        <v>396.71338461538636</v>
      </c>
      <c r="W26" s="42"/>
    </row>
    <row r="27" spans="2:23" ht="12" customHeight="1" x14ac:dyDescent="0.25">
      <c r="B27" s="15">
        <f t="shared" si="11"/>
        <v>15</v>
      </c>
      <c r="C27" s="16">
        <f>3207+2708</f>
        <v>5915</v>
      </c>
      <c r="D27" s="82">
        <f>1580794.89+2120098.78</f>
        <v>3700893.67</v>
      </c>
      <c r="E27" s="10">
        <f t="shared" si="0"/>
        <v>625.67940321217247</v>
      </c>
      <c r="F27" s="11">
        <f t="shared" si="1"/>
        <v>0.77249575551782679</v>
      </c>
      <c r="G27" s="12">
        <f t="shared" si="6"/>
        <v>1</v>
      </c>
      <c r="H27" s="29">
        <f t="shared" si="7"/>
        <v>22003.990000000224</v>
      </c>
      <c r="I27" s="31"/>
      <c r="J27" s="35">
        <v>3835</v>
      </c>
      <c r="K27" s="75">
        <v>2625923.09</v>
      </c>
      <c r="L27" s="10">
        <f t="shared" si="2"/>
        <v>684.72570795306387</v>
      </c>
      <c r="M27" s="11">
        <f t="shared" si="3"/>
        <v>0.51754385964912286</v>
      </c>
      <c r="N27" s="12">
        <f t="shared" si="8"/>
        <v>100</v>
      </c>
      <c r="O27" s="36">
        <f t="shared" si="12"/>
        <v>881.81949999999722</v>
      </c>
      <c r="P27" s="38"/>
      <c r="Q27" s="34">
        <v>1847</v>
      </c>
      <c r="R27" s="64">
        <v>1369325</v>
      </c>
      <c r="S27" s="60">
        <f t="shared" si="4"/>
        <v>741.37791012452624</v>
      </c>
      <c r="T27" s="11">
        <f t="shared" si="5"/>
        <v>0.24121718688781507</v>
      </c>
      <c r="U27" s="14">
        <f t="shared" si="9"/>
        <v>6</v>
      </c>
      <c r="V27" s="36">
        <f t="shared" si="10"/>
        <v>747.77666666665266</v>
      </c>
      <c r="W27" s="42"/>
    </row>
    <row r="28" spans="2:23" ht="12" customHeight="1" x14ac:dyDescent="0.25">
      <c r="B28" s="15">
        <f t="shared" si="11"/>
        <v>16</v>
      </c>
      <c r="C28" s="16">
        <f>2621+3384</f>
        <v>6005</v>
      </c>
      <c r="D28" s="82">
        <f>2248512.75+1527753.64</f>
        <v>3776266.3899999997</v>
      </c>
      <c r="E28" s="10">
        <f t="shared" si="0"/>
        <v>628.85368692756026</v>
      </c>
      <c r="F28" s="11">
        <f t="shared" si="1"/>
        <v>0.78424970615123413</v>
      </c>
      <c r="G28" s="12">
        <f t="shared" si="6"/>
        <v>90</v>
      </c>
      <c r="H28" s="29">
        <f t="shared" si="7"/>
        <v>837.47466666666378</v>
      </c>
      <c r="I28" s="31"/>
      <c r="J28" s="35">
        <v>4004</v>
      </c>
      <c r="K28" s="75">
        <v>2747493.86</v>
      </c>
      <c r="L28" s="10">
        <f t="shared" si="2"/>
        <v>686.18727772227771</v>
      </c>
      <c r="M28" s="11">
        <f t="shared" si="3"/>
        <v>0.54035087719298247</v>
      </c>
      <c r="N28" s="12">
        <f t="shared" si="8"/>
        <v>169</v>
      </c>
      <c r="O28" s="36">
        <f t="shared" si="12"/>
        <v>719.35366863905335</v>
      </c>
      <c r="P28" s="38"/>
      <c r="Q28" s="34">
        <v>1848</v>
      </c>
      <c r="R28" s="64">
        <v>1374078</v>
      </c>
      <c r="S28" s="60">
        <f t="shared" si="4"/>
        <v>743.5487012987013</v>
      </c>
      <c r="T28" s="11">
        <f t="shared" si="5"/>
        <v>0.24134778633929738</v>
      </c>
      <c r="U28" s="14">
        <f t="shared" si="9"/>
        <v>1</v>
      </c>
      <c r="V28" s="36">
        <f t="shared" si="10"/>
        <v>4753</v>
      </c>
      <c r="W28" s="42"/>
    </row>
    <row r="29" spans="2:23" ht="12" customHeight="1" x14ac:dyDescent="0.25">
      <c r="B29" s="15">
        <f t="shared" si="11"/>
        <v>17</v>
      </c>
      <c r="C29" s="16">
        <f>2559+3575</f>
        <v>6134</v>
      </c>
      <c r="D29" s="83">
        <f>1514596.42+2385391.39</f>
        <v>3899987.81</v>
      </c>
      <c r="E29" s="10">
        <f t="shared" si="0"/>
        <v>635.79846918813178</v>
      </c>
      <c r="F29" s="11">
        <f t="shared" si="1"/>
        <v>0.80109703539245136</v>
      </c>
      <c r="G29" s="12">
        <f t="shared" si="6"/>
        <v>129</v>
      </c>
      <c r="H29" s="29">
        <f t="shared" si="7"/>
        <v>959.08077519380151</v>
      </c>
      <c r="I29" s="31"/>
      <c r="J29" s="35">
        <v>4215</v>
      </c>
      <c r="K29" s="102">
        <v>2923440.53</v>
      </c>
      <c r="L29" s="10">
        <f t="shared" si="2"/>
        <v>693.58019691577692</v>
      </c>
      <c r="M29" s="11">
        <f t="shared" si="3"/>
        <v>0.56882591093117407</v>
      </c>
      <c r="N29" s="12">
        <f t="shared" si="8"/>
        <v>211</v>
      </c>
      <c r="O29" s="36">
        <f t="shared" si="12"/>
        <v>833.8704739336489</v>
      </c>
      <c r="P29" s="38"/>
      <c r="Q29" s="34">
        <v>1869</v>
      </c>
      <c r="R29" s="64">
        <v>1386604.05</v>
      </c>
      <c r="S29" s="60">
        <f t="shared" si="4"/>
        <v>741.89622792937405</v>
      </c>
      <c r="T29" s="11">
        <f t="shared" si="5"/>
        <v>0.24409037482042575</v>
      </c>
      <c r="U29" s="14">
        <f t="shared" si="9"/>
        <v>21</v>
      </c>
      <c r="V29" s="36">
        <f t="shared" si="10"/>
        <v>596.47857142857367</v>
      </c>
      <c r="W29" s="42"/>
    </row>
    <row r="30" spans="2:23" ht="12" customHeight="1" x14ac:dyDescent="0.25">
      <c r="B30" s="15">
        <f t="shared" si="11"/>
        <v>18</v>
      </c>
      <c r="C30" s="16">
        <f>3768+2466</f>
        <v>6234</v>
      </c>
      <c r="D30" s="84">
        <f>1475556.78+2520237.24</f>
        <v>3995794.0200000005</v>
      </c>
      <c r="E30" s="10">
        <f t="shared" si="0"/>
        <v>640.96792107795966</v>
      </c>
      <c r="F30" s="11">
        <f t="shared" si="1"/>
        <v>0.81415698054068175</v>
      </c>
      <c r="G30" s="12">
        <f t="shared" si="6"/>
        <v>100</v>
      </c>
      <c r="H30" s="29">
        <f t="shared" si="7"/>
        <v>958.06210000000431</v>
      </c>
      <c r="I30" s="31"/>
      <c r="J30" s="35">
        <v>4233</v>
      </c>
      <c r="K30" s="75">
        <v>2939681.49</v>
      </c>
      <c r="L30" s="10">
        <f t="shared" si="2"/>
        <v>694.46763288447914</v>
      </c>
      <c r="M30" s="11">
        <f t="shared" si="3"/>
        <v>0.57125506072874499</v>
      </c>
      <c r="N30" s="12">
        <f t="shared" si="8"/>
        <v>18</v>
      </c>
      <c r="O30" s="36">
        <f t="shared" si="12"/>
        <v>902.27555555557933</v>
      </c>
      <c r="P30" s="38"/>
      <c r="Q30" s="34">
        <v>1894</v>
      </c>
      <c r="R30" s="64">
        <v>1401243.84</v>
      </c>
      <c r="S30" s="60">
        <f t="shared" si="4"/>
        <v>739.83307286166848</v>
      </c>
      <c r="T30" s="11">
        <f t="shared" si="5"/>
        <v>0.24735536110748335</v>
      </c>
      <c r="U30" s="14">
        <f t="shared" si="9"/>
        <v>25</v>
      </c>
      <c r="V30" s="36">
        <f t="shared" si="10"/>
        <v>585.59160000000145</v>
      </c>
      <c r="W30" s="42"/>
    </row>
    <row r="31" spans="2:23" ht="12" customHeight="1" x14ac:dyDescent="0.25">
      <c r="B31" s="15">
        <f t="shared" si="11"/>
        <v>19</v>
      </c>
      <c r="C31" s="16">
        <f>3961+2424</f>
        <v>6385</v>
      </c>
      <c r="D31" s="84">
        <f>1450482.2+2658974</f>
        <v>4109456.2</v>
      </c>
      <c r="E31" s="10">
        <f t="shared" si="0"/>
        <v>643.61099451840255</v>
      </c>
      <c r="F31" s="11">
        <f t="shared" si="1"/>
        <v>0.83387749771450959</v>
      </c>
      <c r="G31" s="12">
        <f t="shared" si="6"/>
        <v>151</v>
      </c>
      <c r="H31" s="29">
        <f t="shared" si="7"/>
        <v>752.72966887417022</v>
      </c>
      <c r="I31" s="31"/>
      <c r="J31" s="35">
        <v>4174</v>
      </c>
      <c r="K31" s="75">
        <v>2942936.01</v>
      </c>
      <c r="L31" s="10">
        <f t="shared" si="2"/>
        <v>705.0637302347867</v>
      </c>
      <c r="M31" s="11">
        <f t="shared" si="3"/>
        <v>0.56329284750337383</v>
      </c>
      <c r="N31" s="12">
        <f t="shared" si="8"/>
        <v>-59</v>
      </c>
      <c r="O31" s="36">
        <f t="shared" si="12"/>
        <v>-55.161355932195811</v>
      </c>
      <c r="P31" s="38"/>
      <c r="Q31" s="34">
        <v>1880</v>
      </c>
      <c r="R31" s="64">
        <v>1395143.5</v>
      </c>
      <c r="S31" s="60">
        <f t="shared" si="4"/>
        <v>742.09760638297871</v>
      </c>
      <c r="T31" s="11">
        <f t="shared" si="5"/>
        <v>0.24552696878673111</v>
      </c>
      <c r="U31" s="14">
        <f t="shared" si="9"/>
        <v>-14</v>
      </c>
      <c r="V31" s="36">
        <f t="shared" si="10"/>
        <v>435.73857142857742</v>
      </c>
      <c r="W31" s="42"/>
    </row>
    <row r="32" spans="2:23" ht="12" customHeight="1" x14ac:dyDescent="0.25">
      <c r="B32" s="15">
        <f t="shared" si="11"/>
        <v>20</v>
      </c>
      <c r="C32" s="16">
        <f>2241+4173</f>
        <v>6414</v>
      </c>
      <c r="D32" s="84">
        <f>2802707.48+1355268.96</f>
        <v>4157976.44</v>
      </c>
      <c r="E32" s="10">
        <f t="shared" si="0"/>
        <v>648.26573744932955</v>
      </c>
      <c r="F32" s="11">
        <f t="shared" si="1"/>
        <v>0.83766488180749643</v>
      </c>
      <c r="G32" s="12">
        <f t="shared" si="6"/>
        <v>29</v>
      </c>
      <c r="H32" s="29">
        <f t="shared" si="7"/>
        <v>1673.1117241379227</v>
      </c>
      <c r="I32" s="31"/>
      <c r="J32" s="35">
        <v>4264</v>
      </c>
      <c r="K32" s="75">
        <v>3012572.74</v>
      </c>
      <c r="L32" s="10">
        <f t="shared" si="2"/>
        <v>706.51330675422139</v>
      </c>
      <c r="M32" s="11">
        <f t="shared" si="3"/>
        <v>0.57543859649122808</v>
      </c>
      <c r="N32" s="12">
        <f t="shared" si="8"/>
        <v>90</v>
      </c>
      <c r="O32" s="36">
        <f t="shared" si="12"/>
        <v>773.74144444444937</v>
      </c>
      <c r="P32" s="38"/>
      <c r="Q32" s="34">
        <v>1937</v>
      </c>
      <c r="R32" s="64">
        <v>1423777.18</v>
      </c>
      <c r="S32" s="60">
        <f t="shared" si="4"/>
        <v>735.04242643262774</v>
      </c>
      <c r="T32" s="11">
        <f t="shared" si="5"/>
        <v>0.25297113752122241</v>
      </c>
      <c r="U32" s="14">
        <f t="shared" si="9"/>
        <v>57</v>
      </c>
      <c r="V32" s="36">
        <f t="shared" si="10"/>
        <v>502.34526315789361</v>
      </c>
      <c r="W32" s="42"/>
    </row>
    <row r="33" spans="2:23" ht="12" customHeight="1" x14ac:dyDescent="0.25">
      <c r="B33" s="15">
        <f t="shared" si="11"/>
        <v>21</v>
      </c>
      <c r="C33" s="16">
        <f>4367+2100</f>
        <v>6467</v>
      </c>
      <c r="D33" s="82">
        <f>2945565.24+1285025.5</f>
        <v>4230590.74</v>
      </c>
      <c r="E33" s="10">
        <f t="shared" si="0"/>
        <v>654.18134219885576</v>
      </c>
      <c r="F33" s="11">
        <f t="shared" si="1"/>
        <v>0.84458665273605849</v>
      </c>
      <c r="G33" s="12">
        <f t="shared" si="6"/>
        <v>53</v>
      </c>
      <c r="H33" s="29">
        <f t="shared" si="7"/>
        <v>1370.0811320754769</v>
      </c>
      <c r="I33" s="31"/>
      <c r="J33" s="35">
        <v>4309</v>
      </c>
      <c r="K33" s="75">
        <v>3045095.38</v>
      </c>
      <c r="L33" s="10">
        <f t="shared" si="2"/>
        <v>706.6826131352982</v>
      </c>
      <c r="M33" s="11">
        <f t="shared" si="3"/>
        <v>0.58151147098515521</v>
      </c>
      <c r="N33" s="12">
        <f t="shared" si="8"/>
        <v>45</v>
      </c>
      <c r="O33" s="36">
        <f t="shared" si="12"/>
        <v>722.72533333332592</v>
      </c>
      <c r="P33" s="38"/>
      <c r="Q33" s="34">
        <v>1972</v>
      </c>
      <c r="R33" s="64">
        <v>1445021.1</v>
      </c>
      <c r="S33" s="60">
        <f t="shared" si="4"/>
        <v>732.76932048681545</v>
      </c>
      <c r="T33" s="11">
        <f t="shared" si="5"/>
        <v>0.25754211832310303</v>
      </c>
      <c r="U33" s="14">
        <f t="shared" si="9"/>
        <v>35</v>
      </c>
      <c r="V33" s="36">
        <f t="shared" si="10"/>
        <v>606.9691428571474</v>
      </c>
      <c r="W33" s="42"/>
    </row>
    <row r="34" spans="2:23" ht="12" customHeight="1" x14ac:dyDescent="0.25">
      <c r="B34" s="15">
        <f t="shared" si="11"/>
        <v>22</v>
      </c>
      <c r="C34" s="16">
        <f>4547+1941</f>
        <v>6488</v>
      </c>
      <c r="D34" s="82">
        <f>3076548.95+1191476.16</f>
        <v>4268025.1100000003</v>
      </c>
      <c r="E34" s="10">
        <f t="shared" si="0"/>
        <v>657.83370992601726</v>
      </c>
      <c r="F34" s="11">
        <f t="shared" si="1"/>
        <v>0.84732924121718689</v>
      </c>
      <c r="G34" s="12">
        <f t="shared" si="6"/>
        <v>21</v>
      </c>
      <c r="H34" s="29">
        <f t="shared" si="7"/>
        <v>1782.589047619053</v>
      </c>
      <c r="I34" s="31"/>
      <c r="J34" s="35">
        <v>4327</v>
      </c>
      <c r="K34" s="75">
        <v>3058393.68</v>
      </c>
      <c r="L34" s="10">
        <f t="shared" si="2"/>
        <v>706.81619597873816</v>
      </c>
      <c r="M34" s="11">
        <f t="shared" si="3"/>
        <v>0.58394062078272602</v>
      </c>
      <c r="N34" s="12">
        <f t="shared" si="8"/>
        <v>18</v>
      </c>
      <c r="O34" s="36">
        <f t="shared" si="12"/>
        <v>738.79444444445994</v>
      </c>
      <c r="P34" s="38"/>
      <c r="Q34" s="34">
        <v>1985</v>
      </c>
      <c r="R34" s="64">
        <v>1454524.1</v>
      </c>
      <c r="S34" s="60">
        <f t="shared" si="4"/>
        <v>732.75773299748118</v>
      </c>
      <c r="T34" s="11">
        <f t="shared" si="5"/>
        <v>0.259239911192373</v>
      </c>
      <c r="U34" s="14">
        <f t="shared" si="9"/>
        <v>13</v>
      </c>
      <c r="V34" s="36">
        <f t="shared" si="10"/>
        <v>731</v>
      </c>
      <c r="W34" s="42"/>
    </row>
    <row r="35" spans="2:23" ht="12" customHeight="1" x14ac:dyDescent="0.25">
      <c r="B35" s="15">
        <f t="shared" si="11"/>
        <v>23</v>
      </c>
      <c r="C35" s="16">
        <f>4763+1785</f>
        <v>6548</v>
      </c>
      <c r="D35" s="82">
        <f>3227962.21+1098301.61</f>
        <v>4326263.82</v>
      </c>
      <c r="E35" s="10">
        <f t="shared" si="0"/>
        <v>660.70003359804525</v>
      </c>
      <c r="F35" s="11">
        <f t="shared" si="1"/>
        <v>0.85516520830612508</v>
      </c>
      <c r="G35" s="12">
        <f t="shared" si="6"/>
        <v>60</v>
      </c>
      <c r="H35" s="29">
        <f t="shared" si="7"/>
        <v>970.645166666666</v>
      </c>
      <c r="I35" s="31"/>
      <c r="J35" s="35">
        <v>4456</v>
      </c>
      <c r="K35" s="75">
        <v>3162951.05</v>
      </c>
      <c r="L35" s="10">
        <f t="shared" si="2"/>
        <v>709.81845825852781</v>
      </c>
      <c r="M35" s="11">
        <f t="shared" si="3"/>
        <v>0.60134952766531713</v>
      </c>
      <c r="N35" s="12">
        <f t="shared" si="8"/>
        <v>129</v>
      </c>
      <c r="O35" s="36">
        <f t="shared" si="12"/>
        <v>810.52224806201275</v>
      </c>
      <c r="P35" s="38"/>
      <c r="Q35" s="34">
        <v>1989</v>
      </c>
      <c r="R35" s="64">
        <v>1456559.1</v>
      </c>
      <c r="S35" s="60">
        <f t="shared" si="4"/>
        <v>732.30723981900462</v>
      </c>
      <c r="T35" s="11">
        <f t="shared" si="5"/>
        <v>0.25976230899830222</v>
      </c>
      <c r="U35" s="14">
        <f t="shared" si="9"/>
        <v>4</v>
      </c>
      <c r="V35" s="36">
        <f t="shared" si="10"/>
        <v>508.75</v>
      </c>
      <c r="W35" s="42"/>
    </row>
    <row r="36" spans="2:23" ht="12" customHeight="1" x14ac:dyDescent="0.25">
      <c r="B36" s="15">
        <f t="shared" si="11"/>
        <v>24</v>
      </c>
      <c r="C36" s="16">
        <f>4973+1603</f>
        <v>6576</v>
      </c>
      <c r="D36" s="82">
        <f>999010.62+3383170.13</f>
        <v>4382180.75</v>
      </c>
      <c r="E36" s="10">
        <f t="shared" si="0"/>
        <v>666.39001672749396</v>
      </c>
      <c r="F36" s="11">
        <f t="shared" si="1"/>
        <v>0.85882199294762962</v>
      </c>
      <c r="G36" s="12">
        <f t="shared" si="6"/>
        <v>28</v>
      </c>
      <c r="H36" s="29">
        <f t="shared" si="7"/>
        <v>1997.0332142857037</v>
      </c>
      <c r="I36" s="31"/>
      <c r="J36" s="35">
        <v>4538</v>
      </c>
      <c r="K36" s="75">
        <v>3230237.08</v>
      </c>
      <c r="L36" s="10">
        <f t="shared" si="2"/>
        <v>711.81954164830324</v>
      </c>
      <c r="M36" s="11">
        <f t="shared" si="3"/>
        <v>0.61241565452091773</v>
      </c>
      <c r="N36" s="12">
        <f t="shared" si="8"/>
        <v>82</v>
      </c>
      <c r="O36" s="36">
        <f t="shared" si="12"/>
        <v>820.56134146341776</v>
      </c>
      <c r="P36" s="38"/>
      <c r="Q36" s="34">
        <v>2028</v>
      </c>
      <c r="R36" s="64">
        <v>1480985.23</v>
      </c>
      <c r="S36" s="60">
        <f t="shared" si="4"/>
        <v>730.26885108481258</v>
      </c>
      <c r="T36" s="11">
        <f t="shared" si="5"/>
        <v>0.26485568760611206</v>
      </c>
      <c r="U36" s="14">
        <f t="shared" si="9"/>
        <v>39</v>
      </c>
      <c r="V36" s="36">
        <f t="shared" si="10"/>
        <v>626.31102564102275</v>
      </c>
      <c r="W36" s="42"/>
    </row>
    <row r="37" spans="2:23" ht="12" customHeight="1" x14ac:dyDescent="0.25">
      <c r="B37" s="15">
        <f t="shared" si="11"/>
        <v>25</v>
      </c>
      <c r="C37" s="16">
        <f>5188+1418</f>
        <v>6606</v>
      </c>
      <c r="D37" s="82">
        <f>892015.1+3543676.05</f>
        <v>4435691.1499999994</v>
      </c>
      <c r="E37" s="10">
        <f t="shared" si="0"/>
        <v>671.46399485316374</v>
      </c>
      <c r="F37" s="11">
        <f t="shared" si="1"/>
        <v>0.86273997649209877</v>
      </c>
      <c r="G37" s="12">
        <f t="shared" si="6"/>
        <v>30</v>
      </c>
      <c r="H37" s="29">
        <f t="shared" si="7"/>
        <v>1783.6799999999814</v>
      </c>
      <c r="I37" s="31"/>
      <c r="J37" s="35">
        <v>4658</v>
      </c>
      <c r="K37" s="75">
        <v>3335000.4</v>
      </c>
      <c r="L37" s="10">
        <f t="shared" si="2"/>
        <v>715.97260626878483</v>
      </c>
      <c r="M37" s="11">
        <f t="shared" si="3"/>
        <v>0.62860998650472333</v>
      </c>
      <c r="N37" s="12">
        <f t="shared" si="8"/>
        <v>120</v>
      </c>
      <c r="O37" s="36">
        <f t="shared" si="12"/>
        <v>873.02766666666525</v>
      </c>
      <c r="P37" s="38"/>
      <c r="Q37" s="34">
        <v>2050</v>
      </c>
      <c r="R37" s="64">
        <v>1494453.53</v>
      </c>
      <c r="S37" s="60">
        <f t="shared" si="4"/>
        <v>729.00172195121957</v>
      </c>
      <c r="T37" s="11">
        <f t="shared" si="5"/>
        <v>0.26772887553872271</v>
      </c>
      <c r="U37" s="14">
        <f t="shared" si="9"/>
        <v>22</v>
      </c>
      <c r="V37" s="36">
        <f t="shared" si="10"/>
        <v>612.19545454545664</v>
      </c>
      <c r="W37" s="42"/>
    </row>
    <row r="38" spans="2:23" ht="12" customHeight="1" x14ac:dyDescent="0.25">
      <c r="B38" s="15">
        <f t="shared" si="11"/>
        <v>26</v>
      </c>
      <c r="C38" s="16">
        <f>1230+5408</f>
        <v>6638</v>
      </c>
      <c r="D38" s="82">
        <f>3703068.62+785170.39</f>
        <v>4488239.01</v>
      </c>
      <c r="E38" s="10">
        <f t="shared" si="0"/>
        <v>676.14326755046693</v>
      </c>
      <c r="F38" s="11">
        <f t="shared" si="1"/>
        <v>0.86691915893953242</v>
      </c>
      <c r="G38" s="12">
        <f t="shared" si="6"/>
        <v>32</v>
      </c>
      <c r="H38" s="36">
        <f t="shared" si="7"/>
        <v>1642.1206250000105</v>
      </c>
      <c r="I38" s="31"/>
      <c r="J38" s="35">
        <v>4741</v>
      </c>
      <c r="K38" s="75">
        <v>3403805.01</v>
      </c>
      <c r="L38" s="10">
        <f t="shared" si="2"/>
        <v>717.9508563594178</v>
      </c>
      <c r="M38" s="11">
        <f t="shared" si="3"/>
        <v>0.63981106612685557</v>
      </c>
      <c r="N38" s="12">
        <f t="shared" si="8"/>
        <v>83</v>
      </c>
      <c r="O38" s="36">
        <f t="shared" si="12"/>
        <v>828.9712048192755</v>
      </c>
      <c r="P38" s="38"/>
      <c r="Q38" s="34">
        <v>2081</v>
      </c>
      <c r="R38" s="64">
        <v>1508917.52</v>
      </c>
      <c r="S38" s="60">
        <f t="shared" si="4"/>
        <v>725.09251321480053</v>
      </c>
      <c r="T38" s="11">
        <f t="shared" si="5"/>
        <v>0.27177745853467417</v>
      </c>
      <c r="U38" s="14">
        <f t="shared" si="9"/>
        <v>31</v>
      </c>
      <c r="V38" s="36">
        <f t="shared" si="10"/>
        <v>466.58032258064486</v>
      </c>
      <c r="W38" s="42"/>
    </row>
    <row r="39" spans="2:23" ht="12" customHeight="1" x14ac:dyDescent="0.25">
      <c r="B39" s="15">
        <f t="shared" si="11"/>
        <v>27</v>
      </c>
      <c r="C39" s="16">
        <f>983+5641</f>
        <v>6624</v>
      </c>
      <c r="D39" s="82">
        <f>3873896.39+650888.87</f>
        <v>4524785.26</v>
      </c>
      <c r="E39" s="10">
        <f t="shared" si="0"/>
        <v>683.0895621980676</v>
      </c>
      <c r="F39" s="11">
        <f t="shared" si="1"/>
        <v>0.86509076661878015</v>
      </c>
      <c r="G39" s="12">
        <f t="shared" si="6"/>
        <v>-14</v>
      </c>
      <c r="H39" s="36">
        <f t="shared" si="7"/>
        <v>-2610.4464285714284</v>
      </c>
      <c r="I39" s="31"/>
      <c r="J39" s="35">
        <v>4872</v>
      </c>
      <c r="K39" s="75">
        <v>3515341.3</v>
      </c>
      <c r="L39" s="10">
        <f t="shared" si="2"/>
        <v>721.53967569786528</v>
      </c>
      <c r="M39" s="11">
        <f t="shared" si="3"/>
        <v>0.65748987854251018</v>
      </c>
      <c r="N39" s="12">
        <f t="shared" si="8"/>
        <v>131</v>
      </c>
      <c r="O39" s="36">
        <f>(K39-K38)/N39</f>
        <v>851.42206106870253</v>
      </c>
      <c r="P39" s="38"/>
      <c r="Q39" s="34">
        <v>2144</v>
      </c>
      <c r="R39" s="64">
        <v>1553069.36</v>
      </c>
      <c r="S39" s="60">
        <f t="shared" si="4"/>
        <v>724.37936567164184</v>
      </c>
      <c r="T39" s="11">
        <f t="shared" si="5"/>
        <v>0.28000522397805927</v>
      </c>
      <c r="U39" s="14">
        <f t="shared" si="9"/>
        <v>63</v>
      </c>
      <c r="V39" s="36">
        <f t="shared" si="10"/>
        <v>700.82285714285842</v>
      </c>
      <c r="W39" s="42"/>
    </row>
    <row r="40" spans="2:23" ht="12" customHeight="1" x14ac:dyDescent="0.25">
      <c r="B40" s="15">
        <f t="shared" si="11"/>
        <v>28</v>
      </c>
      <c r="C40" s="16">
        <f>5879+727</f>
        <v>6606</v>
      </c>
      <c r="D40" s="82">
        <f>4043870.92+494706.97</f>
        <v>4538577.8899999997</v>
      </c>
      <c r="E40" s="10">
        <f t="shared" si="0"/>
        <v>687.03873599757787</v>
      </c>
      <c r="F40" s="11">
        <f t="shared" si="1"/>
        <v>0.86273997649209877</v>
      </c>
      <c r="G40" s="12">
        <f t="shared" si="6"/>
        <v>-18</v>
      </c>
      <c r="H40" s="36">
        <f>(D40-D39)/G40</f>
        <v>-766.257222222216</v>
      </c>
      <c r="I40" s="31"/>
      <c r="J40" s="35">
        <v>4825</v>
      </c>
      <c r="K40" s="75">
        <v>3490613.22</v>
      </c>
      <c r="L40" s="10">
        <f t="shared" si="2"/>
        <v>723.44315440414516</v>
      </c>
      <c r="M40" s="11">
        <f t="shared" si="3"/>
        <v>0.65114709851551955</v>
      </c>
      <c r="N40" s="12">
        <f t="shared" si="8"/>
        <v>-47</v>
      </c>
      <c r="O40" s="36">
        <f t="shared" si="12"/>
        <v>526.12936170211935</v>
      </c>
      <c r="P40" s="38"/>
      <c r="Q40" s="34">
        <v>2149</v>
      </c>
      <c r="R40" s="64">
        <v>1555930.36</v>
      </c>
      <c r="S40" s="60">
        <f t="shared" si="4"/>
        <v>724.02529548627274</v>
      </c>
      <c r="T40" s="11">
        <f t="shared" si="5"/>
        <v>0.2806582212354708</v>
      </c>
      <c r="U40" s="14">
        <f t="shared" si="9"/>
        <v>5</v>
      </c>
      <c r="V40" s="36">
        <f t="shared" si="10"/>
        <v>572.20000000000005</v>
      </c>
      <c r="W40" s="42"/>
    </row>
    <row r="41" spans="2:23" ht="12" customHeight="1" x14ac:dyDescent="0.25">
      <c r="B41" s="15">
        <f t="shared" si="11"/>
        <v>29</v>
      </c>
      <c r="C41" s="16">
        <f>514+6081</f>
        <v>6595</v>
      </c>
      <c r="D41" s="82">
        <f>4193980.07+358513.1</f>
        <v>4552493.17</v>
      </c>
      <c r="E41" s="10">
        <f t="shared" si="0"/>
        <v>690.29464291129648</v>
      </c>
      <c r="F41" s="11">
        <f t="shared" si="1"/>
        <v>0.86130338252579342</v>
      </c>
      <c r="G41" s="12">
        <f t="shared" si="6"/>
        <v>-11</v>
      </c>
      <c r="H41" s="29">
        <f>(D41-D40)/G41</f>
        <v>-1265.0254545454782</v>
      </c>
      <c r="I41" s="31">
        <v>0</v>
      </c>
      <c r="J41" s="35">
        <v>4850</v>
      </c>
      <c r="K41" s="75">
        <v>3527764.88</v>
      </c>
      <c r="L41" s="10">
        <f t="shared" si="2"/>
        <v>727.37420206185561</v>
      </c>
      <c r="M41" s="11">
        <f t="shared" si="3"/>
        <v>0.65452091767881238</v>
      </c>
      <c r="N41" s="12">
        <f t="shared" si="8"/>
        <v>25</v>
      </c>
      <c r="O41" s="36">
        <f t="shared" si="12"/>
        <v>1486.0663999999874</v>
      </c>
      <c r="P41" s="38"/>
      <c r="Q41" s="34">
        <v>2173</v>
      </c>
      <c r="R41" s="64">
        <v>1578383.3600000001</v>
      </c>
      <c r="S41" s="60">
        <f t="shared" si="4"/>
        <v>726.36141739530603</v>
      </c>
      <c r="T41" s="11">
        <f t="shared" si="5"/>
        <v>0.28379260807104612</v>
      </c>
      <c r="U41" s="14">
        <f t="shared" si="9"/>
        <v>24</v>
      </c>
      <c r="V41" s="36">
        <f t="shared" si="10"/>
        <v>935.54166666666663</v>
      </c>
      <c r="W41" s="42"/>
    </row>
    <row r="42" spans="2:23" ht="12" customHeight="1" x14ac:dyDescent="0.25">
      <c r="B42" s="15">
        <v>30</v>
      </c>
      <c r="C42" s="16">
        <f>250+6328</f>
        <v>6578</v>
      </c>
      <c r="D42" s="82">
        <f>4391317.99+176135</f>
        <v>4567452.99</v>
      </c>
      <c r="E42" s="10">
        <f t="shared" si="0"/>
        <v>694.35284128914566</v>
      </c>
      <c r="F42" s="11">
        <f t="shared" si="1"/>
        <v>0.85908319185059423</v>
      </c>
      <c r="G42" s="12">
        <f t="shared" si="6"/>
        <v>-17</v>
      </c>
      <c r="H42" s="29">
        <f t="shared" si="7"/>
        <v>-879.9894117647234</v>
      </c>
      <c r="I42" s="31"/>
      <c r="J42" s="35">
        <v>5027</v>
      </c>
      <c r="K42" s="75">
        <v>3677938.96</v>
      </c>
      <c r="L42" s="10">
        <f t="shared" si="2"/>
        <v>731.63695245673364</v>
      </c>
      <c r="M42" s="11">
        <f t="shared" si="3"/>
        <v>0.67840755735492575</v>
      </c>
      <c r="N42" s="12">
        <f t="shared" si="8"/>
        <v>177</v>
      </c>
      <c r="O42" s="36">
        <f t="shared" si="12"/>
        <v>848.44112994350326</v>
      </c>
      <c r="P42" s="38"/>
      <c r="Q42" s="34">
        <v>2301</v>
      </c>
      <c r="R42" s="64">
        <v>1645936.87</v>
      </c>
      <c r="S42" s="60">
        <f t="shared" si="4"/>
        <v>715.31372012168629</v>
      </c>
      <c r="T42" s="11">
        <f t="shared" si="5"/>
        <v>0.30050933786078099</v>
      </c>
      <c r="U42" s="14">
        <f t="shared" si="9"/>
        <v>128</v>
      </c>
      <c r="V42" s="36">
        <f t="shared" si="10"/>
        <v>527.76179687500007</v>
      </c>
      <c r="W42" s="42"/>
    </row>
    <row r="43" spans="2:23" ht="11.25" customHeight="1" thickBot="1" x14ac:dyDescent="0.3">
      <c r="B43" s="17">
        <v>31</v>
      </c>
      <c r="C43" s="18">
        <v>6566</v>
      </c>
      <c r="D43" s="88">
        <v>4590087.57</v>
      </c>
      <c r="E43" s="19">
        <f t="shared" si="0"/>
        <v>699.06907858665863</v>
      </c>
      <c r="F43" s="20">
        <f t="shared" si="1"/>
        <v>0.85751599843280657</v>
      </c>
      <c r="G43" s="89">
        <f t="shared" si="6"/>
        <v>-12</v>
      </c>
      <c r="H43" s="90">
        <f t="shared" si="7"/>
        <v>-1886.2150000000063</v>
      </c>
      <c r="I43" s="32"/>
      <c r="J43" s="37">
        <v>5172</v>
      </c>
      <c r="K43" s="80">
        <v>3837468.87</v>
      </c>
      <c r="L43" s="19">
        <f t="shared" si="2"/>
        <v>741.97000580046404</v>
      </c>
      <c r="M43" s="20">
        <f t="shared" si="3"/>
        <v>0.69797570850202428</v>
      </c>
      <c r="N43" s="89">
        <f t="shared" si="8"/>
        <v>145</v>
      </c>
      <c r="O43" s="91">
        <f t="shared" si="12"/>
        <v>1100.20627586207</v>
      </c>
      <c r="P43" s="39"/>
      <c r="Q43" s="37">
        <v>2373</v>
      </c>
      <c r="R43" s="88">
        <v>1686239.61</v>
      </c>
      <c r="S43" s="92">
        <f t="shared" si="4"/>
        <v>710.59402022756012</v>
      </c>
      <c r="T43" s="20">
        <f t="shared" si="5"/>
        <v>0.30991249836750684</v>
      </c>
      <c r="U43" s="93">
        <f t="shared" si="9"/>
        <v>72</v>
      </c>
      <c r="V43" s="91">
        <f t="shared" si="10"/>
        <v>559.76027777777767</v>
      </c>
      <c r="W43" s="43"/>
    </row>
    <row r="44" spans="2:23" hidden="1" x14ac:dyDescent="0.25">
      <c r="B44" s="21"/>
      <c r="C44" s="21"/>
      <c r="D44" s="86"/>
      <c r="E44" s="21"/>
      <c r="F44" s="21"/>
      <c r="G44" s="21"/>
      <c r="H44" s="21"/>
    </row>
    <row r="47" spans="2:23" x14ac:dyDescent="0.25">
      <c r="L47" s="69"/>
      <c r="M47" s="103"/>
      <c r="N47" s="69"/>
      <c r="O47" s="69"/>
    </row>
  </sheetData>
  <mergeCells count="15">
    <mergeCell ref="N3:Q3"/>
    <mergeCell ref="N4:Q4"/>
    <mergeCell ref="R3:V3"/>
    <mergeCell ref="R4:V4"/>
    <mergeCell ref="B10:V10"/>
    <mergeCell ref="B5:W5"/>
    <mergeCell ref="B6:H6"/>
    <mergeCell ref="J6:O6"/>
    <mergeCell ref="Q6:V6"/>
    <mergeCell ref="F8:G8"/>
    <mergeCell ref="H8:I8"/>
    <mergeCell ref="M8:N8"/>
    <mergeCell ref="O8:P8"/>
    <mergeCell ref="T8:U8"/>
    <mergeCell ref="V8:W8"/>
  </mergeCells>
  <pageMargins left="0.75" right="0.64" top="0.9" bottom="0.68" header="0.5" footer="0.5"/>
  <pageSetup scale="9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January,February,March</vt:lpstr>
      <vt:lpstr>March,April,May</vt:lpstr>
      <vt:lpstr>April,May, June</vt:lpstr>
      <vt:lpstr>May, June , July</vt:lpstr>
      <vt:lpstr>June,July,Aug </vt:lpstr>
      <vt:lpstr>July,Aug,Sept</vt:lpstr>
      <vt:lpstr>August,September,October</vt:lpstr>
      <vt:lpstr>September,October,November</vt:lpstr>
      <vt:lpstr>October,November,December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Daily Pick Up</dc:title>
  <dc:creator/>
  <cp:lastModifiedBy>InnArchive.com</cp:lastModifiedBy>
  <cp:lastPrinted>2013-01-03T06:50:39Z</cp:lastPrinted>
  <dcterms:created xsi:type="dcterms:W3CDTF">2002-04-24T13:35:17Z</dcterms:created>
  <dcterms:modified xsi:type="dcterms:W3CDTF">2015-11-28T03:54:29Z</dcterms:modified>
</cp:coreProperties>
</file>